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drawings/charts/chart2.xml" ContentType="application/vnd.openxmlformats-officedocument.drawingml.char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drawings/drawing2.xml" ContentType="application/vnd.openxmlformats-officedocument.drawing+xml"/>
  <Override PartName="/xl/drawings/charts/chart3.xml" ContentType="application/vnd.openxmlformats-officedocument.drawingml.char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drawings/drawing3.xml" ContentType="application/vnd.openxmlformats-officedocument.drawing+xml"/>
  <Override PartName="/xl/drawings/charts/chart4.xml" ContentType="application/vnd.openxmlformats-officedocument.drawingml.char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drawings/drawing4.xml" ContentType="application/vnd.openxmlformats-officedocument.drawing+xml"/>
  <Override PartName="/xl/drawings/charts/chart5.xml" ContentType="application/vnd.openxmlformats-officedocument.drawingml.char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3b53e9348e4b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Обзор" sheetId="1" r:id="R1b1b7a6ee6b64cc6"/>
    <x:sheet xmlns:r="http://schemas.openxmlformats.org/officeDocument/2006/relationships" name="Допущения" sheetId="2" r:id="Rc3dbdddf98ee4985"/>
    <x:sheet xmlns:r="http://schemas.openxmlformats.org/officeDocument/2006/relationships" name="План аудитов" sheetId="3" r:id="R15fdc3d278b74108"/>
    <x:sheet xmlns:r="http://schemas.openxmlformats.org/officeDocument/2006/relationships" name="Команда" sheetId="4" r:id="Rc2e85e490f344baa"/>
    <x:sheet xmlns:r="http://schemas.openxmlformats.org/officeDocument/2006/relationships" name="Модель 36м" sheetId="5" r:id="R113c3a202cf34b2b"/>
    <x:sheet xmlns:r="http://schemas.openxmlformats.org/officeDocument/2006/relationships" name="Сводка" sheetId="6" r:id="R28cdb297344d433d"/>
    <x:sheet xmlns:r="http://schemas.openxmlformats.org/officeDocument/2006/relationships" name="Проверки" sheetId="7" r:id="Ref9576abbd3d4229"/>
    <x:sheet xmlns:r="http://schemas.openxmlformats.org/officeDocument/2006/relationships" name="Источники" sheetId="8" r:id="R5d421be9079645ee"/>
    <x:sheet xmlns:r="http://schemas.openxmlformats.org/officeDocument/2006/relationships" name="Прибыли и убытки" sheetId="9" r:id="R23680c5b158a4f4d"/>
    <x:sheet xmlns:r="http://schemas.openxmlformats.org/officeDocument/2006/relationships" name="Денежный поток" sheetId="10" r:id="R10b10c1d08954998"/>
    <x:sheet xmlns:r="http://schemas.openxmlformats.org/officeDocument/2006/relationships" name="Юнит-экономика" sheetId="11" r:id="Rcd39480420094d06"/>
    <x:sheet xmlns:r="http://schemas.openxmlformats.org/officeDocument/2006/relationships" name="Оценка и инвестор" sheetId="12" r:id="R8998bfafb4eb4ceb"/>
    <x:sheet xmlns:r="http://schemas.openxmlformats.org/officeDocument/2006/relationships" name="Стресс-тест" sheetId="13" r:id="Rdcb5b6b37d1a4f63"/>
    <x:sheet xmlns:r="http://schemas.openxmlformats.org/officeDocument/2006/relationships" name="Параметры сайта" sheetId="14" r:id="Ra7569d5a615449aa"/>
    <x:sheet xmlns:r="http://schemas.openxmlformats.org/officeDocument/2006/relationships" name="Налоги и господдержка" sheetId="15" r:id="R3d84c01c910f4e66"/>
    <x:sheet xmlns:r="http://schemas.openxmlformats.org/officeDocument/2006/relationships" name="LEGAL-TAX-GRANT ROADMAP" sheetId="16" r:id="Re9ef6a3e6b1a4b76"/>
    <x:sheet xmlns:r="http://schemas.openxmlformats.org/officeDocument/2006/relationships" name="CONTRACT-NDS MATRIX" sheetId="17" r:id="R94f4721bceef4dd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6">
    <x:numFmt numFmtId="200" formatCode="#,##0 &quot;₽&quot;"/>
    <x:numFmt numFmtId="201" formatCode="0.0%"/>
    <x:numFmt numFmtId="202" formatCode="#,##0.0"/>
    <x:numFmt numFmtId="203" formatCode="#,##0 &quot;₽&quot;;[Red](#,##0 &quot;₽&quot;);-"/>
    <x:numFmt numFmtId="204" formatCode="0.0"/>
    <x:numFmt numFmtId="205" formatCode="0"/>
    <x:numFmt numFmtId="206" formatCode="0.0%;[Red](0.0%);-"/>
    <x:numFmt numFmtId="207" formatCode="#,##0.0;[Red](#,##0.0);-"/>
    <x:numFmt numFmtId="208" formatCode="0.0 &quot;мес.&quot;;[Red](0.0 &quot;мес.&quot;);-"/>
    <x:numFmt numFmtId="209" formatCode="0.0x;[Red](0.0x);-"/>
    <x:numFmt numFmtId="210" formatCode="0 &quot;мес.&quot;"/>
    <x:numFmt numFmtId="211" formatCode="0.0 &quot;мес.&quot;"/>
    <x:numFmt numFmtId="212" formatCode="#,##0;[Red](#,##0);-"/>
    <x:numFmt numFmtId="213" formatCode="#,##0"/>
    <x:numFmt numFmtId="214" formatCode="0%"/>
    <x:numFmt numFmtId="215" formatCode="0.0x"/>
  </x:numFmts>
  <x:fonts count="26">
    <x:font>
      <x:sz val="11"/>
      <x:name val="Carlito"/>
    </x:font>
    <x:font>
      <x:b/>
      <x:sz val="18"/>
      <x:name val="Carlito"/>
    </x:font>
    <x:font>
      <x:b/>
      <x:sz val="11"/>
      <x:color rgb="FFFFFFFF"/>
      <x:name val="Carlito"/>
    </x:font>
    <x:font>
      <x:sz val="11"/>
      <x:color rgb="FF1F4E79"/>
      <x:name val="Carlito"/>
    </x:font>
    <x:font>
      <x:b/>
      <x:sz val="14"/>
      <x:name val="Carlito"/>
    </x:font>
    <x:font>
      <x:sz val="11"/>
      <x:color rgb="FF000000"/>
      <x:name val="Carlito"/>
    </x:font>
    <x:font>
      <x:b/>
      <x:sz val="16"/>
      <x:name val="Carlito"/>
    </x:font>
    <x:font>
      <x:sz val="11"/>
      <x:color rgb="FF0000FF"/>
      <x:name val="Carlito"/>
    </x:font>
    <x:font>
      <x:b/>
      <x:sz val="17"/>
      <x:name val="Carlito"/>
    </x:font>
    <x:font>
      <x:b/>
      <x:sz val="11"/>
      <x:name val="Carlito"/>
    </x:font>
    <x:font>
      <x:sz val="11"/>
      <x:color rgb="FF008000"/>
      <x:name val="Carlito"/>
    </x:font>
    <x:font>
      <x:b/>
      <x:sz val="11"/>
      <x:color rgb="FF000000"/>
      <x:name val="Carlito"/>
    </x:font>
    <x:font>
      <x:b/>
      <x:sz val="18"/>
      <x:color rgb="FF111111"/>
      <x:name val="Carlito"/>
    </x:font>
    <x:font>
      <x:i/>
      <x:sz val="11"/>
      <x:color rgb="FF555555"/>
      <x:name val="Carlito"/>
    </x:font>
    <x:font>
      <x:b/>
      <x:sz val="11"/>
      <x:color rgb="FF008000"/>
      <x:name val="Carlito"/>
    </x:font>
    <x:font>
      <x:b/>
      <x:sz val="17"/>
      <x:color rgb="FF111111"/>
      <x:name val="Carlito"/>
    </x:font>
    <x:font>
      <x:b/>
      <x:sz val="16"/>
      <x:color rgb="FF111111"/>
      <x:name val="Carlito"/>
    </x:font>
    <x:font>
      <x:b/>
      <x:sz val="11"/>
      <x:color rgb="FF0000FF"/>
      <x:name val="Carlito"/>
    </x:font>
    <x:font>
      <x:b/>
      <x:sz val="10"/>
      <x:color rgb="FF111111"/>
      <x:name val="Arial"/>
    </x:font>
    <x:font>
      <x:sz val="10"/>
      <x:name val="Arial"/>
    </x:font>
    <x:font>
      <x:b/>
      <x:sz val="10"/>
      <x:color rgb="FFFFFFFF"/>
      <x:name val="Arial"/>
    </x:font>
    <x:font>
      <x:b/>
      <x:sz val="10"/>
      <x:color rgb="FF0000FF"/>
      <x:name val="Arial"/>
    </x:font>
    <x:font>
      <x:sz val="10"/>
      <x:color rgb="FF0000FF"/>
      <x:name val="Arial"/>
    </x:font>
    <x:font>
      <x:b/>
      <x:sz val="16"/>
      <x:color rgb="FF111111"/>
      <x:name val="Arial"/>
    </x:font>
    <x:font>
      <x:b/>
      <x:sz val="14"/>
      <x:color rgb="FFFFFFFF"/>
      <x:name val="Carlito"/>
    </x:font>
    <x:font>
      <x:sz val="10"/>
      <x:color rgb="FF008000"/>
      <x:name val="Arial"/>
    </x:font>
  </x:fonts>
  <x:fills count="42">
    <x:fill>
      <x:patternFill patternType="none"/>
    </x:fill>
    <x:fill>
      <x:patternFill patternType="gray125"/>
    </x:fill>
    <x:fill>
      <x:patternFill patternType="solid">
        <x:fgColor rgb="FFE8EFEA"/>
      </x:patternFill>
    </x:fill>
    <x:fill>
      <x:patternFill patternType="solid">
        <x:fgColor rgb="FF173B34"/>
      </x:patternFill>
    </x:fill>
    <x:fill>
      <x:patternFill patternType="solid">
        <x:fgColor rgb="FFFFF2CC"/>
      </x:patternFill>
    </x:fill>
    <x:fill>
      <x:patternFill patternType="solid">
        <x:fgColor rgb="FFFFF2CC"/>
      </x:patternFill>
    </x:fill>
    <x:fill>
      <x:patternFill patternType="solid">
        <x:fgColor rgb="FF173B34"/>
      </x:patternFill>
    </x:fill>
    <x:fill>
      <x:patternFill patternType="solid">
        <x:fgColor rgb="FFFFFF00"/>
      </x:patternFill>
    </x:fill>
    <x:fill>
      <x:patternFill patternType="solid">
        <x:fgColor rgb="FFE8EFEA"/>
      </x:patternFill>
    </x:fill>
    <x:fill>
      <x:patternFill patternType="solid">
        <x:fgColor rgb="FF173B34"/>
      </x:patternFill>
    </x:fill>
    <x:fill>
      <x:patternFill patternType="solid">
        <x:fgColor rgb="FFE8EFEA"/>
      </x:patternFill>
    </x:fill>
    <x:fill>
      <x:patternFill patternType="solid">
        <x:fgColor rgb="FF173B34"/>
      </x:patternFill>
    </x:fill>
    <x:fill>
      <x:patternFill patternType="solid">
        <x:fgColor rgb="FFE8EFEA"/>
      </x:patternFill>
    </x:fill>
    <x:fill>
      <x:patternFill patternType="solid">
        <x:fgColor rgb="FF173B34"/>
      </x:patternFill>
    </x:fill>
    <x:fill>
      <x:patternFill patternType="solid">
        <x:fgColor rgb="FFFFFF00"/>
      </x:patternFill>
    </x:fill>
    <x:fill>
      <x:patternFill patternType="solid">
        <x:fgColor rgb="FFE8EFEA"/>
      </x:patternFill>
    </x:fill>
    <x:fill>
      <x:patternFill patternType="solid">
        <x:fgColor rgb="FF173B34"/>
      </x:patternFill>
    </x:fill>
    <x:fill>
      <x:patternFill patternType="solid">
        <x:fgColor rgb="FFFFFF00"/>
      </x:patternFill>
    </x:fill>
    <x:fill>
      <x:patternFill patternType="solid">
        <x:fgColor rgb="FFE8EFEA"/>
      </x:patternFill>
    </x:fill>
    <x:fill>
      <x:patternFill patternType="solid">
        <x:fgColor rgb="FF173B34"/>
      </x:patternFill>
    </x:fill>
    <x:fill>
      <x:patternFill patternType="solid">
        <x:fgColor rgb="FFFFF2CC"/>
      </x:patternFill>
    </x:fill>
    <x:fill>
      <x:patternFill patternType="solid">
        <x:fgColor rgb="FFFFFF00"/>
      </x:patternFill>
    </x:fill>
    <x:fill>
      <x:patternFill patternType="solid">
        <x:fgColor rgb="FFF2F2F2"/>
      </x:patternFill>
    </x:fill>
    <x:fill>
      <x:patternFill patternType="solid">
        <x:fgColor rgb="FFE7EFEA"/>
      </x:patternFill>
    </x:fill>
    <x:fill>
      <x:patternFill patternType="solid">
        <x:fgColor rgb="FF123F34"/>
      </x:patternFill>
    </x:fill>
    <x:fill>
      <x:patternFill patternType="solid">
        <x:fgColor rgb="FF1F4E78"/>
      </x:patternFill>
    </x:fill>
    <x:fill>
      <x:patternFill patternType="solid">
        <x:fgColor rgb="FFD9EAF7"/>
      </x:patternFill>
    </x:fill>
    <x:fill>
      <x:patternFill patternType="solid">
        <x:fgColor rgb="FFFFF2CC"/>
      </x:patternFill>
    </x:fill>
    <x:fill>
      <x:patternFill patternType="solid">
        <x:fgColor rgb="FF1F4E78"/>
      </x:patternFill>
    </x:fill>
    <x:fill>
      <x:patternFill patternType="solid">
        <x:fgColor rgb="FFD9EAF7"/>
      </x:patternFill>
    </x:fill>
    <x:fill>
      <x:patternFill patternType="solid">
        <x:fgColor rgb="FFFFF2CC"/>
      </x:patternFill>
    </x:fill>
    <x:fill>
      <x:patternFill patternType="solid">
        <x:fgColor rgb="FF17365D"/>
      </x:patternFill>
    </x:fill>
    <x:fill>
      <x:patternFill patternType="solid">
        <x:fgColor rgb="FF17365D"/>
      </x:patternFill>
    </x:fill>
    <x:fill>
      <x:patternFill patternType="solid">
        <x:fgColor rgb="FF1F4E78"/>
      </x:patternFill>
    </x:fill>
    <x:fill>
      <x:patternFill patternType="solid">
        <x:fgColor rgb="FFD9EAF7"/>
      </x:patternFill>
    </x:fill>
    <x:fill>
      <x:patternFill patternType="solid">
        <x:fgColor rgb="FFFFF2CC"/>
      </x:patternFill>
    </x:fill>
    <x:fill>
      <x:patternFill patternType="solid">
        <x:fgColor rgb="FF17365D"/>
      </x:patternFill>
    </x:fill>
    <x:fill>
      <x:patternFill patternType="solid">
        <x:fgColor rgb="FFD9EAF7"/>
      </x:patternFill>
    </x:fill>
    <x:fill>
      <x:patternFill patternType="solid">
        <x:fgColor rgb="FFFFF2CC"/>
      </x:patternFill>
    </x:fill>
    <x:fill>
      <x:patternFill patternType="solid">
        <x:fgColor rgb="FF1F4E78"/>
      </x:patternFill>
    </x:fill>
    <x:fill>
      <x:patternFill patternType="solid">
        <x:fgColor rgb="FFE7E6E6"/>
      </x:patternFill>
    </x:fill>
    <x:fill>
      <x:patternFill patternType="solid">
        <x:fgColor rgb="FFFFF2CC"/>
      </x:patternFill>
    </x:fill>
  </x:fills>
  <x:borders count="3">
    <x:border/>
    <x:border/>
    <x:border>
      <x:top style="thin">
        <x:color rgb="FF000000"/>
      </x:top>
    </x:border>
  </x:borders>
  <x:cellStyleXfs count="1">
    <x:xf numFmtId="0" fontId="0" fillId="0" borderId="0"/>
  </x:cellStyleXfs>
  <x:cellXfs count="419">
    <x:xf numFmtId="0" fontId="0" fillId="0" borderId="0" xfId="0"/>
    <x:xf numFmtId="0" fontId="0" fillId="0" borderId="1" xfId="0" applyNumberFormat="1" applyFont="1" applyFill="1" applyBorder="1"/>
    <x:xf numFmtId="0" fontId="1" fillId="0" borderId="0" xfId="0" applyNumberFormat="1" applyFont="1" applyFill="1" applyBorder="1"/>
    <x:xf numFmtId="0" fontId="1" fillId="0" borderId="1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3" borderId="0" xfId="0" applyNumberFormat="1" applyFont="1" applyFill="1" applyBorder="1"/>
    <x:xf numFmtId="0" fontId="2" fillId="3" borderId="1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2" fillId="3" borderId="1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0" fillId="4" borderId="1" xfId="0" applyNumberFormat="1" applyFont="1" applyFill="1" applyBorder="1"/>
    <x:xf numFmtId="0" fontId="3" fillId="4" borderId="0" xfId="0" applyNumberFormat="1" applyFont="1" applyFill="1" applyBorder="1"/>
    <x:xf numFmtId="0" fontId="3" fillId="4" borderId="1" xfId="0" applyNumberFormat="1" applyFont="1" applyFill="1" applyBorder="1"/>
    <x:xf numFmtId="200" fontId="3" fillId="4" borderId="0" xfId="0" applyNumberFormat="1" applyFont="1" applyFill="1" applyBorder="1"/>
    <x:xf numFmtId="200" fontId="3" fillId="4" borderId="1" xfId="0" applyNumberFormat="1" applyFont="1" applyFill="1" applyBorder="1"/>
    <x:xf numFmtId="201" fontId="3" fillId="4" borderId="0" xfId="0" applyNumberFormat="1" applyFont="1" applyFill="1" applyBorder="1"/>
    <x:xf numFmtId="201" fontId="3" fillId="4" borderId="1" xfId="0" applyNumberFormat="1" applyFont="1" applyFill="1" applyBorder="1"/>
    <x:xf numFmtId="0" fontId="4" fillId="0" borderId="0" xfId="0" applyNumberFormat="1" applyFont="1" applyFill="1" applyBorder="1"/>
    <x:xf numFmtId="0" fontId="4" fillId="0" borderId="1" xfId="0" applyNumberFormat="1" applyFont="1" applyFill="1" applyBorder="1"/>
    <x:xf numFmtId="0" fontId="4" fillId="2" borderId="0" xfId="0" applyNumberFormat="1" applyFont="1" applyFill="1" applyBorder="1"/>
    <x:xf numFmtId="0" fontId="4" fillId="2" borderId="1" xfId="0" applyNumberFormat="1" applyFont="1" applyFill="1" applyBorder="1"/>
    <x:xf numFmtId="0" fontId="5" fillId="0" borderId="0" xfId="0" applyNumberFormat="1" applyFont="1" applyFill="1" applyBorder="1"/>
    <x:xf numFmtId="0" fontId="5" fillId="0" borderId="1" xfId="0" applyNumberFormat="1" applyFont="1" applyFill="1" applyBorder="1"/>
    <x:xf numFmtId="0" fontId="6" fillId="0" borderId="0" xfId="0" applyNumberFormat="1" applyFont="1" applyFill="1" applyBorder="1"/>
    <x:xf numFmtId="0" fontId="6" fillId="0" borderId="1" xfId="0" applyNumberFormat="1" applyFont="1" applyFill="1" applyBorder="1"/>
    <x:xf numFmtId="0" fontId="6" fillId="2" borderId="0" xfId="0" applyNumberFormat="1" applyFont="1" applyFill="1" applyBorder="1"/>
    <x:xf numFmtId="0" fontId="6" fillId="2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202" fontId="0" fillId="0" borderId="0" xfId="0" applyNumberFormat="1" applyFont="1" applyFill="1" applyBorder="1"/>
    <x:xf numFmtId="202" fontId="0" fillId="0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0" fontId="1" fillId="2" borderId="0" xfId="0" applyNumberFormat="1" applyFont="1" applyFill="1" applyBorder="1" applyAlignment="1">
      <x:alignment wrapText="0"/>
    </x:xf>
    <x:xf numFmtId="0" fontId="0" fillId="0" borderId="0" xfId="0" applyNumberFormat="1" applyFont="1" applyFill="1" applyBorder="1" applyAlignment="1">
      <x:alignment wrapText="0"/>
    </x:xf>
    <x:xf numFmtId="0" fontId="1" fillId="2" borderId="1" xfId="0" applyNumberFormat="1" applyFont="1" applyFill="1" applyBorder="1" applyAlignment="1">
      <x:alignment wrapText="0"/>
    </x:xf>
    <x:xf numFmtId="0" fontId="0" fillId="0" borderId="1" xfId="0" applyNumberFormat="1" applyFont="1" applyFill="1" applyBorder="1" applyAlignment="1">
      <x:alignment wrapText="0"/>
    </x:xf>
    <x:xf numFmtId="0" fontId="4" fillId="2" borderId="0" xfId="0" applyNumberFormat="1" applyFont="1" applyFill="1" applyBorder="1" applyAlignment="1">
      <x:alignment wrapText="0"/>
    </x:xf>
    <x:xf numFmtId="0" fontId="4" fillId="2" borderId="1" xfId="0" applyNumberFormat="1" applyFont="1" applyFill="1" applyBorder="1" applyAlignment="1">
      <x:alignment wrapText="0"/>
    </x:xf>
    <x:xf numFmtId="0" fontId="6" fillId="2" borderId="0" xfId="0" applyNumberFormat="1" applyFont="1" applyFill="1" applyBorder="1" applyAlignment="1">
      <x:alignment wrapText="0"/>
    </x:xf>
    <x:xf numFmtId="0" fontId="6" fillId="2" borderId="1" xfId="0" applyNumberFormat="1" applyFont="1" applyFill="1" applyBorder="1" applyAlignment="1">
      <x:alignment wrapText="0"/>
    </x:xf>
    <x:xf numFmtId="0" fontId="0" fillId="0" borderId="0" xfId="0" applyNumberFormat="1" applyFont="1" applyFill="1" applyBorder="1"/>
    <x:xf numFmtId="0" fontId="7" fillId="0" borderId="0" xfId="0" applyNumberFormat="1" applyFont="1" applyFill="1" applyBorder="1"/>
    <x:xf numFmtId="0" fontId="7" fillId="5" borderId="0" xfId="0" applyNumberFormat="1" applyFont="1" applyFill="1" applyBorder="1"/>
    <x:xf numFmtId="0" fontId="7" fillId="4" borderId="0" xfId="0" applyNumberFormat="1" applyFont="1" applyFill="1" applyBorder="1"/>
    <x:xf numFmtId="0" fontId="2" fillId="6" borderId="0" xfId="0" applyNumberFormat="1" applyFont="1" applyFill="1" applyBorder="1" applyAlignment="1">
      <x:alignment vertical="center" wrapText="1"/>
    </x:xf>
    <x:xf numFmtId="0" fontId="0" fillId="6" borderId="0" xfId="0" applyNumberFormat="1" applyFont="1" applyFill="1" applyBorder="1"/>
    <x:xf numFmtId="0" fontId="2" fillId="6" borderId="0" xfId="0" applyNumberFormat="1" applyFont="1" applyFill="1" applyBorder="1"/>
    <x:xf numFmtId="203" fontId="0" fillId="0" borderId="0" xfId="0" applyNumberFormat="1" applyFont="1" applyFill="1" applyBorder="1"/>
    <x:xf numFmtId="204" fontId="0" fillId="0" borderId="0" xfId="0" applyNumberFormat="1" applyFont="1" applyFill="1" applyBorder="1"/>
    <x:xf numFmtId="205" fontId="0" fillId="0" borderId="0" xfId="0" applyNumberFormat="1" applyFont="1" applyFill="1" applyBorder="1"/>
    <x:xf numFmtId="201" fontId="7" fillId="4" borderId="0" xfId="0" applyNumberFormat="1" applyFont="1" applyFill="1" applyBorder="1"/>
    <x:xf numFmtId="200" fontId="7" fillId="4" borderId="0" xfId="0" applyNumberFormat="1" applyFont="1" applyFill="1" applyBorder="1"/>
    <x:xf numFmtId="0" fontId="0" fillId="3" borderId="0" xfId="0" applyNumberFormat="1" applyFont="1" applyFill="1" applyBorder="1"/>
    <x:xf numFmtId="0" fontId="0" fillId="7" borderId="0" xfId="0" applyNumberFormat="1" applyFont="1" applyFill="1" applyBorder="1"/>
    <x:xf numFmtId="0" fontId="7" fillId="7" borderId="0" xfId="0" applyNumberFormat="1" applyFont="1" applyFill="1" applyBorder="1"/>
    <x:xf numFmtId="203" fontId="7" fillId="7" borderId="0" xfId="0" applyNumberFormat="1" applyFont="1" applyFill="1" applyBorder="1"/>
    <x:xf numFmtId="206" fontId="7" fillId="7" borderId="0" xfId="0" applyNumberFormat="1" applyFont="1" applyFill="1" applyBorder="1"/>
    <x:xf numFmtId="0" fontId="0" fillId="8" borderId="0" xfId="0" applyNumberFormat="1" applyFont="1" applyFill="1" applyBorder="1"/>
    <x:xf numFmtId="0" fontId="8" fillId="8" borderId="0" xfId="0" applyNumberFormat="1" applyFont="1" applyFill="1" applyBorder="1"/>
    <x:xf numFmtId="0" fontId="0" fillId="9" borderId="0" xfId="0" applyNumberFormat="1" applyFont="1" applyFill="1" applyBorder="1"/>
    <x:xf numFmtId="0" fontId="2" fillId="9" borderId="0" xfId="0" applyNumberFormat="1" applyFont="1" applyFill="1" applyBorder="1"/>
    <x:xf numFmtId="0" fontId="2" fillId="9" borderId="0" xfId="0" applyNumberFormat="1" applyFont="1" applyFill="1" applyBorder="1" applyAlignment="1">
      <x:alignment wrapText="1"/>
    </x:xf>
    <x:xf numFmtId="206" fontId="0" fillId="0" borderId="0" xfId="0" applyNumberFormat="1" applyFont="1" applyFill="1" applyBorder="1"/>
    <x:xf numFmtId="0" fontId="0" fillId="0" borderId="2" xfId="0" applyNumberFormat="1" applyFont="1" applyFill="1" applyBorder="1"/>
    <x:xf numFmtId="203" fontId="0" fillId="0" borderId="2" xfId="0" applyNumberFormat="1" applyFont="1" applyFill="1" applyBorder="1"/>
    <x:xf numFmtId="0" fontId="9" fillId="0" borderId="2" xfId="0" applyNumberFormat="1" applyFont="1" applyFill="1" applyBorder="1"/>
    <x:xf numFmtId="203" fontId="9" fillId="0" borderId="2" xfId="0" applyNumberFormat="1" applyFont="1" applyFill="1" applyBorder="1"/>
    <x:xf numFmtId="0" fontId="9" fillId="0" borderId="2" xfId="0" applyNumberFormat="1" applyFont="1" applyFill="1" applyBorder="1" applyAlignment="1">
      <x:alignment wrapText="1"/>
    </x:xf>
    <x:xf numFmtId="0" fontId="2" fillId="9" borderId="0" xfId="0" applyNumberFormat="1" applyFont="1" applyFill="1" applyBorder="1" applyAlignment="1">
      <x:alignment horizontal="right" wrapText="1"/>
    </x:xf>
    <x:xf numFmtId="0" fontId="2" fillId="9" borderId="0" xfId="0" applyNumberFormat="1" applyFont="1" applyFill="1" applyBorder="1" applyAlignment="1">
      <x:alignment horizontal="right"/>
    </x:xf>
    <x:xf numFmtId="203" fontId="0" fillId="0" borderId="0" xfId="0" applyNumberFormat="1" applyFont="1" applyFill="1" applyBorder="1" applyAlignment="1">
      <x:alignment horizontal="right"/>
    </x:xf>
    <x:xf numFmtId="203" fontId="9" fillId="0" borderId="2" xfId="0" applyNumberFormat="1" applyFont="1" applyFill="1" applyBorder="1" applyAlignment="1">
      <x:alignment horizontal="right"/>
    </x:xf>
    <x:xf numFmtId="0" fontId="0" fillId="0" borderId="0" xfId="0" applyNumberFormat="1" applyFont="1" applyFill="1" applyBorder="1" applyAlignment="1">
      <x:alignment horizontal="right"/>
    </x:xf>
    <x:xf numFmtId="206" fontId="0" fillId="0" borderId="0" xfId="0" applyNumberFormat="1" applyFont="1" applyFill="1" applyBorder="1" applyAlignment="1">
      <x:alignment horizontal="right"/>
    </x:xf>
    <x:xf numFmtId="0" fontId="2" fillId="9" borderId="0" xfId="0" applyNumberFormat="1" applyFont="1" applyFill="1" applyBorder="1" applyAlignment="1">
      <x:alignment horizontal="left" wrapText="1"/>
    </x:xf>
    <x:xf numFmtId="0" fontId="0" fillId="0" borderId="0" xfId="0" applyNumberFormat="1" applyFont="1" applyFill="1" applyBorder="1" applyAlignment="1">
      <x:alignment horizontal="left" wrapText="1"/>
    </x:xf>
    <x:xf numFmtId="0" fontId="9" fillId="0" borderId="2" xfId="0" applyNumberFormat="1" applyFont="1" applyFill="1" applyBorder="1" applyAlignment="1">
      <x:alignment horizontal="left" wrapText="1"/>
    </x:xf>
    <x:xf numFmtId="0" fontId="0" fillId="0" borderId="0" xfId="0" applyNumberFormat="1" applyFont="1" applyFill="1" applyBorder="1" applyAlignment="1">
      <x:alignment horizontal="left"/>
    </x:xf>
    <x:xf numFmtId="205" fontId="0" fillId="0" borderId="0" xfId="0" applyNumberFormat="1" applyFont="1" applyFill="1" applyBorder="1" applyAlignment="1">
      <x:alignment horizontal="right"/>
    </x:xf>
    <x:xf numFmtId="0" fontId="9" fillId="0" borderId="2" xfId="0" applyNumberFormat="1" applyFont="1" applyFill="1" applyBorder="1" applyAlignment="1">
      <x:alignment horizontal="left"/>
    </x:xf>
    <x:xf numFmtId="0" fontId="0" fillId="2" borderId="0" xfId="0" applyNumberFormat="1" applyFont="1" applyFill="1" applyBorder="1"/>
    <x:xf numFmtId="0" fontId="8" fillId="2" borderId="0" xfId="0" applyNumberFormat="1" applyFont="1" applyFill="1" applyBorder="1"/>
    <x:xf numFmtId="0" fontId="2" fillId="3" borderId="0" xfId="0" applyNumberFormat="1" applyFont="1" applyFill="1" applyBorder="1" applyAlignment="1">
      <x:alignment horizontal="right" wrapText="1"/>
    </x:xf>
    <x:xf numFmtId="0" fontId="2" fillId="3" borderId="0" xfId="0" applyNumberFormat="1" applyFont="1" applyFill="1" applyBorder="1" applyAlignment="1">
      <x:alignment horizontal="right"/>
    </x:xf>
    <x:xf numFmtId="0" fontId="2" fillId="3" borderId="0" xfId="0" applyNumberFormat="1" applyFont="1" applyFill="1" applyBorder="1" applyAlignment="1">
      <x:alignment horizontal="left" wrapText="1"/>
    </x:xf>
    <x:xf numFmtId="0" fontId="0" fillId="10" borderId="0" xfId="0" applyNumberFormat="1" applyFont="1" applyFill="1" applyBorder="1"/>
    <x:xf numFmtId="0" fontId="8" fillId="10" borderId="0" xfId="0" applyNumberFormat="1" applyFont="1" applyFill="1" applyBorder="1"/>
    <x:xf numFmtId="0" fontId="0" fillId="11" borderId="0" xfId="0" applyNumberFormat="1" applyFont="1" applyFill="1" applyBorder="1"/>
    <x:xf numFmtId="0" fontId="2" fillId="11" borderId="0" xfId="0" applyNumberFormat="1" applyFont="1" applyFill="1" applyBorder="1"/>
    <x:xf numFmtId="0" fontId="2" fillId="11" borderId="0" xfId="0" applyNumberFormat="1" applyFont="1" applyFill="1" applyBorder="1" applyAlignment="1">
      <x:alignment wrapText="1"/>
    </x:xf>
    <x:xf numFmtId="207" fontId="0" fillId="0" borderId="0" xfId="0" applyNumberFormat="1" applyFont="1" applyFill="1" applyBorder="1"/>
    <x:xf numFmtId="208" fontId="0" fillId="0" borderId="0" xfId="0" applyNumberFormat="1" applyFont="1" applyFill="1" applyBorder="1"/>
    <x:xf numFmtId="209" fontId="0" fillId="0" borderId="0" xfId="0" applyNumberFormat="1" applyFont="1" applyFill="1" applyBorder="1"/>
    <x:xf numFmtId="203" fontId="10" fillId="0" borderId="0" xfId="0" applyNumberFormat="1" applyFont="1" applyFill="1" applyBorder="1"/>
    <x:xf numFmtId="206" fontId="10" fillId="0" borderId="0" xfId="0" applyNumberFormat="1" applyFont="1" applyFill="1" applyBorder="1"/>
    <x:xf numFmtId="207" fontId="10" fillId="0" borderId="0" xfId="0" applyNumberFormat="1" applyFont="1" applyFill="1" applyBorder="1"/>
    <x:xf numFmtId="208" fontId="10" fillId="0" borderId="0" xfId="0" applyNumberFormat="1" applyFont="1" applyFill="1" applyBorder="1"/>
    <x:xf numFmtId="209" fontId="10" fillId="0" borderId="0" xfId="0" applyNumberFormat="1" applyFont="1" applyFill="1" applyBorder="1"/>
    <x:xf numFmtId="0" fontId="0" fillId="0" borderId="2" xfId="0" applyNumberFormat="1" applyFont="1" applyFill="1" applyBorder="1" applyAlignment="1">
      <x:alignment wrapText="1"/>
    </x:xf>
    <x:xf numFmtId="203" fontId="10" fillId="0" borderId="2" xfId="0" applyNumberFormat="1" applyFont="1" applyFill="1" applyBorder="1"/>
    <x:xf numFmtId="0" fontId="0" fillId="12" borderId="0" xfId="0" applyNumberFormat="1" applyFont="1" applyFill="1" applyBorder="1"/>
    <x:xf numFmtId="0" fontId="8" fillId="12" borderId="0" xfId="0" applyNumberFormat="1" applyFont="1" applyFill="1" applyBorder="1"/>
    <x:xf numFmtId="0" fontId="0" fillId="13" borderId="0" xfId="0" applyNumberFormat="1" applyFont="1" applyFill="1" applyBorder="1"/>
    <x:xf numFmtId="0" fontId="2" fillId="13" borderId="0" xfId="0" applyNumberFormat="1" applyFont="1" applyFill="1" applyBorder="1"/>
    <x:xf numFmtId="0" fontId="2" fillId="13" borderId="0" xfId="0" applyNumberFormat="1" applyFont="1" applyFill="1" applyBorder="1" applyAlignment="1">
      <x:alignment wrapText="1"/>
    </x:xf>
    <x:xf numFmtId="0" fontId="0" fillId="14" borderId="0" xfId="0" applyNumberFormat="1" applyFont="1" applyFill="1" applyBorder="1"/>
    <x:xf numFmtId="0" fontId="7" fillId="14" borderId="0" xfId="0" applyNumberFormat="1" applyFont="1" applyFill="1" applyBorder="1"/>
    <x:xf numFmtId="209" fontId="7" fillId="14" borderId="0" xfId="0" applyNumberFormat="1" applyFont="1" applyFill="1" applyBorder="1"/>
    <x:xf numFmtId="206" fontId="7" fillId="14" borderId="0" xfId="0" applyNumberFormat="1" applyFont="1" applyFill="1" applyBorder="1"/>
    <x:xf numFmtId="203" fontId="7" fillId="14" borderId="0" xfId="0" applyNumberFormat="1" applyFont="1" applyFill="1" applyBorder="1"/>
    <x:xf numFmtId="205" fontId="7" fillId="14" borderId="0" xfId="0" applyNumberFormat="1" applyFont="1" applyFill="1" applyBorder="1"/>
    <x:xf numFmtId="203" fontId="5" fillId="0" borderId="0" xfId="0" applyNumberFormat="1" applyFont="1" applyFill="1" applyBorder="1"/>
    <x:xf numFmtId="206" fontId="5" fillId="0" borderId="0" xfId="0" applyNumberFormat="1" applyFont="1" applyFill="1" applyBorder="1"/>
    <x:xf numFmtId="205" fontId="5" fillId="0" borderId="0" xfId="0" applyNumberFormat="1" applyFont="1" applyFill="1" applyBorder="1"/>
    <x:xf numFmtId="0" fontId="11" fillId="13" borderId="0" xfId="0" applyNumberFormat="1" applyFont="1" applyFill="1" applyBorder="1" applyAlignment="1">
      <x:alignment wrapText="1"/>
    </x:xf>
    <x:xf numFmtId="209" fontId="2" fillId="13" borderId="0" xfId="0" applyNumberFormat="1" applyFont="1" applyFill="1" applyBorder="1" applyAlignment="1">
      <x:alignment wrapText="1"/>
    </x:xf>
    <x:xf numFmtId="0" fontId="10" fillId="0" borderId="0" xfId="0" applyNumberFormat="1" applyFont="1" applyFill="1" applyBorder="1"/>
    <x:xf numFmtId="0" fontId="0" fillId="0" borderId="0" xfId="0" applyNumberFormat="1" applyFont="1" applyFill="1" applyBorder="1" applyAlignment="1">
      <x:alignment vertical="top" wrapText="1"/>
    </x:xf>
    <x:xf numFmtId="0" fontId="8" fillId="12" borderId="0" xfId="0" applyNumberFormat="1" applyFont="1" applyFill="1" applyBorder="1" applyAlignment="1">
      <x:alignment wrapText="0"/>
    </x:xf>
    <x:xf numFmtId="0" fontId="2" fillId="13" borderId="0" xfId="0" applyNumberFormat="1" applyFont="1" applyFill="1" applyBorder="1" applyAlignment="1">
      <x:alignment wrapText="0"/>
    </x:xf>
    <x:xf numFmtId="209" fontId="7" fillId="14" borderId="0" xfId="0" applyNumberFormat="1" applyFont="1" applyFill="1" applyBorder="1" applyAlignment="1">
      <x:alignment wrapText="0"/>
    </x:xf>
    <x:xf numFmtId="203" fontId="7" fillId="14" borderId="0" xfId="0" applyNumberFormat="1" applyFont="1" applyFill="1" applyBorder="1" applyAlignment="1">
      <x:alignment wrapText="0"/>
    </x:xf>
    <x:xf numFmtId="206" fontId="7" fillId="14" borderId="0" xfId="0" applyNumberFormat="1" applyFont="1" applyFill="1" applyBorder="1" applyAlignment="1">
      <x:alignment wrapText="0"/>
    </x:xf>
    <x:xf numFmtId="205" fontId="7" fillId="14" borderId="0" xfId="0" applyNumberFormat="1" applyFont="1" applyFill="1" applyBorder="1" applyAlignment="1">
      <x:alignment wrapText="0"/>
    </x:xf>
    <x:xf numFmtId="207" fontId="10" fillId="0" borderId="0" xfId="0" applyNumberFormat="1" applyFont="1" applyFill="1" applyBorder="1" applyAlignment="1">
      <x:alignment wrapText="0"/>
    </x:xf>
    <x:xf numFmtId="203" fontId="10" fillId="0" borderId="0" xfId="0" applyNumberFormat="1" applyFont="1" applyFill="1" applyBorder="1" applyAlignment="1">
      <x:alignment wrapText="0"/>
    </x:xf>
    <x:xf numFmtId="209" fontId="10" fillId="0" borderId="0" xfId="0" applyNumberFormat="1" applyFont="1" applyFill="1" applyBorder="1" applyAlignment="1">
      <x:alignment wrapText="0"/>
    </x:xf>
    <x:xf numFmtId="206" fontId="10" fillId="0" borderId="0" xfId="0" applyNumberFormat="1" applyFont="1" applyFill="1" applyBorder="1" applyAlignment="1">
      <x:alignment wrapText="0"/>
    </x:xf>
    <x:xf numFmtId="0" fontId="5" fillId="0" borderId="0" xfId="0" applyNumberFormat="1" applyFont="1" applyFill="1" applyBorder="1" applyAlignment="1">
      <x:alignment wrapText="0"/>
    </x:xf>
    <x:xf numFmtId="203" fontId="5" fillId="0" borderId="0" xfId="0" applyNumberFormat="1" applyFont="1" applyFill="1" applyBorder="1" applyAlignment="1">
      <x:alignment wrapText="0"/>
    </x:xf>
    <x:xf numFmtId="206" fontId="5" fillId="0" borderId="0" xfId="0" applyNumberFormat="1" applyFont="1" applyFill="1" applyBorder="1" applyAlignment="1">
      <x:alignment wrapText="0"/>
    </x:xf>
    <x:xf numFmtId="205" fontId="5" fillId="0" borderId="0" xfId="0" applyNumberFormat="1" applyFont="1" applyFill="1" applyBorder="1" applyAlignment="1">
      <x:alignment wrapText="0"/>
    </x:xf>
    <x:xf numFmtId="0" fontId="11" fillId="13" borderId="0" xfId="0" applyNumberFormat="1" applyFont="1" applyFill="1" applyBorder="1" applyAlignment="1">
      <x:alignment wrapText="0"/>
    </x:xf>
    <x:xf numFmtId="209" fontId="2" fillId="13" borderId="0" xfId="0" applyNumberFormat="1" applyFont="1" applyFill="1" applyBorder="1" applyAlignment="1">
      <x:alignment wrapText="0"/>
    </x:xf>
    <x:xf numFmtId="0" fontId="10" fillId="0" borderId="0" xfId="0" applyNumberFormat="1" applyFont="1" applyFill="1" applyBorder="1" applyAlignment="1">
      <x:alignment wrapText="0"/>
    </x:xf>
    <x:xf numFmtId="0" fontId="0" fillId="0" borderId="0" xfId="0" applyNumberFormat="1" applyFont="1" applyFill="1" applyBorder="1" applyAlignment="1">
      <x:alignment vertical="top" wrapText="0"/>
    </x:xf>
    <x:xf numFmtId="0" fontId="10" fillId="0" borderId="0" xfId="0" applyNumberFormat="1" applyFont="1" applyFill="1" applyBorder="1" applyAlignment="1">
      <x:alignment wrapText="1"/>
    </x:xf>
    <x:xf numFmtId="0" fontId="0" fillId="0" borderId="2" xfId="0" applyNumberFormat="1" applyFont="1" applyFill="1" applyBorder="1" applyAlignment="1">
      <x:alignment wrapText="0"/>
    </x:xf>
    <x:xf numFmtId="207" fontId="10" fillId="0" borderId="2" xfId="0" applyNumberFormat="1" applyFont="1" applyFill="1" applyBorder="1" applyAlignment="1">
      <x:alignment wrapText="0"/>
    </x:xf>
    <x:xf numFmtId="203" fontId="10" fillId="0" borderId="2" xfId="0" applyNumberFormat="1" applyFont="1" applyFill="1" applyBorder="1" applyAlignment="1">
      <x:alignment wrapText="0"/>
    </x:xf>
    <x:xf numFmtId="209" fontId="10" fillId="0" borderId="2" xfId="0" applyNumberFormat="1" applyFont="1" applyFill="1" applyBorder="1" applyAlignment="1">
      <x:alignment wrapText="0"/>
    </x:xf>
    <x:xf numFmtId="0" fontId="11" fillId="13" borderId="2" xfId="0" applyNumberFormat="1" applyFont="1" applyFill="1" applyBorder="1" applyAlignment="1">
      <x:alignment wrapText="0"/>
    </x:xf>
    <x:xf numFmtId="203" fontId="5" fillId="0" borderId="2" xfId="0" applyNumberFormat="1" applyFont="1" applyFill="1" applyBorder="1" applyAlignment="1">
      <x:alignment wrapText="0"/>
    </x:xf>
    <x:xf numFmtId="0" fontId="5" fillId="0" borderId="2" xfId="0" applyNumberFormat="1" applyFont="1" applyFill="1" applyBorder="1" applyAlignment="1">
      <x:alignment wrapText="0"/>
    </x:xf>
    <x:xf numFmtId="206" fontId="5" fillId="0" borderId="2" xfId="0" applyNumberFormat="1" applyFont="1" applyFill="1" applyBorder="1" applyAlignment="1">
      <x:alignment wrapText="0"/>
    </x:xf>
    <x:xf numFmtId="209" fontId="7" fillId="7" borderId="0" xfId="0" applyNumberFormat="1" applyFont="1" applyFill="1" applyBorder="1"/>
    <x:xf numFmtId="205" fontId="7" fillId="7" borderId="0" xfId="0" applyNumberFormat="1" applyFont="1" applyFill="1" applyBorder="1"/>
    <x:xf numFmtId="0" fontId="11" fillId="3" borderId="0" xfId="0" applyNumberFormat="1" applyFont="1" applyFill="1" applyBorder="1" applyAlignment="1">
      <x:alignment wrapText="1"/>
    </x:xf>
    <x:xf numFmtId="209" fontId="2" fillId="3" borderId="0" xfId="0" applyNumberFormat="1" applyFont="1" applyFill="1" applyBorder="1" applyAlignment="1">
      <x:alignment wrapText="1"/>
    </x:xf>
    <x:xf numFmtId="0" fontId="8" fillId="2" borderId="0" xfId="0" applyNumberFormat="1" applyFont="1" applyFill="1" applyBorder="1" applyAlignment="1">
      <x:alignment wrapText="0"/>
    </x:xf>
    <x:xf numFmtId="0" fontId="2" fillId="3" borderId="0" xfId="0" applyNumberFormat="1" applyFont="1" applyFill="1" applyBorder="1" applyAlignment="1">
      <x:alignment wrapText="0"/>
    </x:xf>
    <x:xf numFmtId="209" fontId="7" fillId="7" borderId="0" xfId="0" applyNumberFormat="1" applyFont="1" applyFill="1" applyBorder="1" applyAlignment="1">
      <x:alignment wrapText="0"/>
    </x:xf>
    <x:xf numFmtId="203" fontId="7" fillId="7" borderId="0" xfId="0" applyNumberFormat="1" applyFont="1" applyFill="1" applyBorder="1" applyAlignment="1">
      <x:alignment wrapText="0"/>
    </x:xf>
    <x:xf numFmtId="206" fontId="7" fillId="7" borderId="0" xfId="0" applyNumberFormat="1" applyFont="1" applyFill="1" applyBorder="1" applyAlignment="1">
      <x:alignment wrapText="0"/>
    </x:xf>
    <x:xf numFmtId="205" fontId="7" fillId="7" borderId="0" xfId="0" applyNumberFormat="1" applyFont="1" applyFill="1" applyBorder="1" applyAlignment="1">
      <x:alignment wrapText="0"/>
    </x:xf>
    <x:xf numFmtId="0" fontId="11" fillId="3" borderId="0" xfId="0" applyNumberFormat="1" applyFont="1" applyFill="1" applyBorder="1" applyAlignment="1">
      <x:alignment wrapText="0"/>
    </x:xf>
    <x:xf numFmtId="209" fontId="2" fillId="3" borderId="0" xfId="0" applyNumberFormat="1" applyFont="1" applyFill="1" applyBorder="1" applyAlignment="1">
      <x:alignment wrapText="0"/>
    </x:xf>
    <x:xf numFmtId="0" fontId="11" fillId="3" borderId="2" xfId="0" applyNumberFormat="1" applyFont="1" applyFill="1" applyBorder="1" applyAlignment="1">
      <x:alignment wrapText="0"/>
    </x:xf>
    <x:xf numFmtId="0" fontId="0" fillId="15" borderId="0" xfId="0" applyNumberFormat="1" applyFont="1" applyFill="1" applyBorder="1"/>
    <x:xf numFmtId="0" fontId="8" fillId="15" borderId="0" xfId="0" applyNumberFormat="1" applyFont="1" applyFill="1" applyBorder="1"/>
    <x:xf numFmtId="0" fontId="0" fillId="16" borderId="0" xfId="0" applyNumberFormat="1" applyFont="1" applyFill="1" applyBorder="1"/>
    <x:xf numFmtId="0" fontId="2" fillId="16" borderId="0" xfId="0" applyNumberFormat="1" applyFont="1" applyFill="1" applyBorder="1"/>
    <x:xf numFmtId="0" fontId="2" fillId="16" borderId="0" xfId="0" applyNumberFormat="1" applyFont="1" applyFill="1" applyBorder="1" applyAlignment="1">
      <x:alignment wrapText="1"/>
    </x:xf>
    <x:xf numFmtId="0" fontId="0" fillId="17" borderId="0" xfId="0" applyNumberFormat="1" applyFont="1" applyFill="1" applyBorder="1"/>
    <x:xf numFmtId="0" fontId="7" fillId="17" borderId="0" xfId="0" applyNumberFormat="1" applyFont="1" applyFill="1" applyBorder="1"/>
    <x:xf numFmtId="206" fontId="7" fillId="17" borderId="0" xfId="0" applyNumberFormat="1" applyFont="1" applyFill="1" applyBorder="1"/>
    <x:xf numFmtId="205" fontId="7" fillId="17" borderId="0" xfId="0" applyNumberFormat="1" applyFont="1" applyFill="1" applyBorder="1"/>
    <x:xf numFmtId="0" fontId="8" fillId="15" borderId="0" xfId="0" applyNumberFormat="1" applyFont="1" applyFill="1" applyBorder="1" applyAlignment="1">
      <x:alignment horizontal="left"/>
    </x:xf>
    <x:xf numFmtId="0" fontId="8" fillId="15" borderId="0" xfId="0" applyNumberFormat="1" applyFont="1" applyFill="1" applyBorder="1" applyAlignment="1">
      <x:alignment horizontal="right"/>
    </x:xf>
    <x:xf numFmtId="0" fontId="8" fillId="2" borderId="0" xfId="0" applyNumberFormat="1" applyFont="1" applyFill="1" applyBorder="1" applyAlignment="1">
      <x:alignment horizontal="left"/>
    </x:xf>
    <x:xf numFmtId="0" fontId="8" fillId="2" borderId="0" xfId="0" applyNumberFormat="1" applyFont="1" applyFill="1" applyBorder="1" applyAlignment="1">
      <x:alignment horizontal="right"/>
    </x:xf>
    <x:xf numFmtId="0" fontId="1" fillId="18" borderId="0" xfId="0" applyNumberFormat="1" applyFont="1" applyFill="1" applyBorder="1" applyAlignment="1">
      <x:alignment wrapText="0"/>
    </x:xf>
    <x:xf numFmtId="0" fontId="0" fillId="18" borderId="0" xfId="0" applyNumberFormat="1" applyFont="1" applyFill="1" applyBorder="1" applyAlignment="1">
      <x:alignment wrapText="0"/>
    </x:xf>
    <x:xf numFmtId="0" fontId="12" fillId="18" borderId="0" xfId="0" applyNumberFormat="1" applyFont="1" applyFill="1" applyBorder="1" applyAlignment="1">
      <x:alignment wrapText="0"/>
    </x:xf>
    <x:xf numFmtId="0" fontId="13" fillId="0" borderId="0" xfId="0" applyNumberFormat="1" applyFont="1" applyFill="1" applyBorder="1"/>
    <x:xf numFmtId="0" fontId="0" fillId="19" borderId="0" xfId="0" applyNumberFormat="1" applyFont="1" applyFill="1" applyBorder="1"/>
    <x:xf numFmtId="0" fontId="3" fillId="19" borderId="0" xfId="0" applyNumberFormat="1" applyFont="1" applyFill="1" applyBorder="1"/>
    <x:xf numFmtId="0" fontId="2" fillId="19" borderId="0" xfId="0" applyNumberFormat="1" applyFont="1" applyFill="1" applyBorder="1"/>
    <x:xf numFmtId="0" fontId="2" fillId="19" borderId="0" xfId="0" applyNumberFormat="1" applyFont="1" applyFill="1" applyBorder="1" applyAlignment="1">
      <x:alignment wrapText="1"/>
    </x:xf>
    <x:xf numFmtId="201" fontId="3" fillId="20" borderId="0" xfId="0" applyNumberFormat="1" applyFont="1" applyFill="1" applyBorder="1"/>
    <x:xf numFmtId="200" fontId="3" fillId="20" borderId="0" xfId="0" applyNumberFormat="1" applyFont="1" applyFill="1" applyBorder="1"/>
    <x:xf numFmtId="0" fontId="3" fillId="20" borderId="0" xfId="0" applyNumberFormat="1" applyFont="1" applyFill="1" applyBorder="1"/>
    <x:xf numFmtId="201" fontId="7" fillId="20" borderId="0" xfId="0" applyNumberFormat="1" applyFont="1" applyFill="1" applyBorder="1"/>
    <x:xf numFmtId="200" fontId="7" fillId="20" borderId="0" xfId="0" applyNumberFormat="1" applyFont="1" applyFill="1" applyBorder="1"/>
    <x:xf numFmtId="0" fontId="7" fillId="20" borderId="0" xfId="0" applyNumberFormat="1" applyFont="1" applyFill="1" applyBorder="1"/>
    <x:xf numFmtId="203" fontId="7" fillId="20" borderId="0" xfId="0" applyNumberFormat="1" applyFont="1" applyFill="1" applyBorder="1"/>
    <x:xf numFmtId="206" fontId="7" fillId="20" borderId="0" xfId="0" applyNumberFormat="1" applyFont="1" applyFill="1" applyBorder="1"/>
    <x:xf numFmtId="205" fontId="7" fillId="20" borderId="0" xfId="0" applyNumberFormat="1" applyFont="1" applyFill="1" applyBorder="1"/>
    <x:xf numFmtId="0" fontId="2" fillId="19" borderId="0" xfId="0" applyNumberFormat="1" applyFont="1" applyFill="1" applyBorder="1" applyAlignment="1">
      <x:alignment vertical="center" wrapText="1"/>
    </x:xf>
    <x:xf numFmtId="205" fontId="0" fillId="19" borderId="0" xfId="0" applyNumberFormat="1" applyFont="1" applyFill="1" applyBorder="1"/>
    <x:xf numFmtId="205" fontId="2" fillId="19" borderId="0" xfId="0" applyNumberFormat="1" applyFont="1" applyFill="1" applyBorder="1"/>
    <x:xf numFmtId="205" fontId="2" fillId="19" borderId="0" xfId="0" applyNumberFormat="1" applyFont="1" applyFill="1" applyBorder="1" applyAlignment="1">
      <x:alignment wrapText="1"/>
    </x:xf>
    <x:xf numFmtId="205" fontId="10" fillId="0" borderId="0" xfId="0" applyNumberFormat="1" applyFont="1" applyFill="1" applyBorder="1"/>
    <x:xf numFmtId="0" fontId="14" fillId="3" borderId="0" xfId="0" applyNumberFormat="1" applyFont="1" applyFill="1" applyBorder="1" applyAlignment="1">
      <x:alignment wrapText="1"/>
    </x:xf>
    <x:xf numFmtId="209" fontId="14" fillId="3" borderId="0" xfId="0" applyNumberFormat="1" applyFont="1" applyFill="1" applyBorder="1" applyAlignment="1">
      <x:alignment wrapText="1"/>
    </x:xf>
    <x:xf numFmtId="203" fontId="0" fillId="19" borderId="0" xfId="0" applyNumberFormat="1" applyFont="1" applyFill="1" applyBorder="1"/>
    <x:xf numFmtId="203" fontId="10" fillId="19" borderId="0" xfId="0" applyNumberFormat="1" applyFont="1" applyFill="1" applyBorder="1"/>
    <x:xf numFmtId="203" fontId="2" fillId="19" borderId="0" xfId="0" applyNumberFormat="1" applyFont="1" applyFill="1" applyBorder="1"/>
    <x:xf numFmtId="203" fontId="2" fillId="19" borderId="0" xfId="0" applyNumberFormat="1" applyFont="1" applyFill="1" applyBorder="1" applyAlignment="1">
      <x:alignment wrapText="1"/>
    </x:xf>
    <x:xf numFmtId="206" fontId="0" fillId="19" borderId="0" xfId="0" applyNumberFormat="1" applyFont="1" applyFill="1" applyBorder="1"/>
    <x:xf numFmtId="206" fontId="2" fillId="19" borderId="0" xfId="0" applyNumberFormat="1" applyFont="1" applyFill="1" applyBorder="1"/>
    <x:xf numFmtId="206" fontId="2" fillId="19" borderId="0" xfId="0" applyNumberFormat="1" applyFont="1" applyFill="1" applyBorder="1" applyAlignment="1">
      <x:alignment wrapText="1"/>
    </x:xf>
    <x:xf numFmtId="208" fontId="10" fillId="19" borderId="0" xfId="0" applyNumberFormat="1" applyFont="1" applyFill="1" applyBorder="1"/>
    <x:xf numFmtId="208" fontId="2" fillId="19" borderId="0" xfId="0" applyNumberFormat="1" applyFont="1" applyFill="1" applyBorder="1"/>
    <x:xf numFmtId="208" fontId="2" fillId="19" borderId="0" xfId="0" applyNumberFormat="1" applyFont="1" applyFill="1" applyBorder="1" applyAlignment="1">
      <x:alignment wrapText="1"/>
    </x:xf>
    <x:xf numFmtId="209" fontId="10" fillId="19" borderId="0" xfId="0" applyNumberFormat="1" applyFont="1" applyFill="1" applyBorder="1"/>
    <x:xf numFmtId="209" fontId="2" fillId="19" borderId="0" xfId="0" applyNumberFormat="1" applyFont="1" applyFill="1" applyBorder="1"/>
    <x:xf numFmtId="209" fontId="2" fillId="19" borderId="0" xfId="0" applyNumberFormat="1" applyFont="1" applyFill="1" applyBorder="1" applyAlignment="1">
      <x:alignment wrapText="1"/>
    </x:xf>
    <x:xf numFmtId="203" fontId="2" fillId="3" borderId="0" xfId="0" applyNumberFormat="1" applyFont="1" applyFill="1" applyBorder="1" applyAlignment="1">
      <x:alignment wrapText="1"/>
    </x:xf>
    <x:xf numFmtId="205" fontId="2" fillId="3" borderId="0" xfId="0" applyNumberFormat="1" applyFont="1" applyFill="1" applyBorder="1" applyAlignment="1">
      <x:alignment wrapText="1"/>
    </x:xf>
    <x:xf numFmtId="203" fontId="14" fillId="3" borderId="0" xfId="0" applyNumberFormat="1" applyFont="1" applyFill="1" applyBorder="1" applyAlignment="1">
      <x:alignment wrapText="1"/>
    </x:xf>
    <x:xf numFmtId="205" fontId="14" fillId="3" borderId="0" xfId="0" applyNumberFormat="1" applyFont="1" applyFill="1" applyBorder="1" applyAlignment="1">
      <x:alignment wrapText="1"/>
    </x:xf>
    <x:xf numFmtId="210" fontId="0" fillId="0" borderId="0" xfId="0" applyNumberFormat="1" applyFont="1" applyFill="1" applyBorder="1"/>
    <x:xf numFmtId="206" fontId="7" fillId="0" borderId="0" xfId="0" applyNumberFormat="1" applyFont="1" applyFill="1" applyBorder="1"/>
    <x:xf numFmtId="210" fontId="7" fillId="0" borderId="0" xfId="0" applyNumberFormat="1" applyFont="1" applyFill="1" applyBorder="1"/>
    <x:xf numFmtId="203" fontId="7" fillId="0" borderId="0" xfId="0" applyNumberFormat="1" applyFont="1" applyFill="1" applyBorder="1"/>
    <x:xf numFmtId="206" fontId="7" fillId="21" borderId="0" xfId="0" applyNumberFormat="1" applyFont="1" applyFill="1" applyBorder="1"/>
    <x:xf numFmtId="210" fontId="7" fillId="21" borderId="0" xfId="0" applyNumberFormat="1" applyFont="1" applyFill="1" applyBorder="1"/>
    <x:xf numFmtId="203" fontId="7" fillId="21" borderId="0" xfId="0" applyNumberFormat="1" applyFont="1" applyFill="1" applyBorder="1"/>
    <x:xf numFmtId="206" fontId="10" fillId="19" borderId="0" xfId="0" applyNumberFormat="1" applyFont="1" applyFill="1" applyBorder="1"/>
    <x:xf numFmtId="0" fontId="0" fillId="22" borderId="0" xfId="0" applyNumberFormat="1" applyFont="1" applyFill="1" applyBorder="1"/>
    <x:xf numFmtId="203" fontId="10" fillId="22" borderId="0" xfId="0" applyNumberFormat="1" applyFont="1" applyFill="1" applyBorder="1"/>
    <x:xf numFmtId="0" fontId="9" fillId="22" borderId="0" xfId="0" applyNumberFormat="1" applyFont="1" applyFill="1" applyBorder="1"/>
    <x:xf numFmtId="203" fontId="14" fillId="22" borderId="0" xfId="0" applyNumberFormat="1" applyFont="1" applyFill="1" applyBorder="1"/>
    <x:xf numFmtId="0" fontId="9" fillId="22" borderId="0" xfId="0" applyNumberFormat="1" applyFont="1" applyFill="1" applyBorder="1" applyAlignment="1">
      <x:alignment wrapText="1"/>
    </x:xf>
    <x:xf numFmtId="203" fontId="14" fillId="22" borderId="0" xfId="0" applyNumberFormat="1" applyFont="1" applyFill="1" applyBorder="1" applyAlignment="1">
      <x:alignment wrapText="1"/>
    </x:xf>
    <x:xf numFmtId="209" fontId="10" fillId="0" borderId="0" xfId="0" applyNumberFormat="1" applyFont="1" applyFill="1" applyBorder="1" applyAlignment="1">
      <x:alignment wrapText="1"/>
    </x:xf>
    <x:xf numFmtId="0" fontId="0" fillId="18" borderId="0" xfId="0" applyNumberFormat="1" applyFont="1" applyFill="1" applyBorder="1"/>
    <x:xf numFmtId="0" fontId="15" fillId="18" borderId="0" xfId="0" applyNumberFormat="1" applyFont="1" applyFill="1" applyBorder="1"/>
    <x:xf numFmtId="211" fontId="10" fillId="0" borderId="0" xfId="0" applyNumberFormat="1" applyFont="1" applyFill="1" applyBorder="1"/>
    <x:xf numFmtId="0" fontId="12" fillId="18" borderId="0" xfId="0" applyNumberFormat="1" applyFont="1" applyFill="1" applyBorder="1" applyAlignment="1">
      <x:alignment wrapText="1"/>
    </x:xf>
    <x:xf numFmtId="0" fontId="13" fillId="0" borderId="0" xfId="0" applyNumberFormat="1" applyFont="1" applyFill="1" applyBorder="1" applyAlignment="1">
      <x:alignment wrapText="1"/>
    </x:xf>
    <x:xf numFmtId="201" fontId="7" fillId="20" borderId="0" xfId="0" applyNumberFormat="1" applyFont="1" applyFill="1" applyBorder="1" applyAlignment="1">
      <x:alignment wrapText="1"/>
    </x:xf>
    <x:xf numFmtId="204" fontId="0" fillId="0" borderId="0" xfId="0" applyNumberFormat="1" applyFont="1" applyFill="1" applyBorder="1" applyAlignment="1">
      <x:alignment wrapText="1"/>
    </x:xf>
    <x:xf numFmtId="203" fontId="10" fillId="0" borderId="0" xfId="0" applyNumberFormat="1" applyFont="1" applyFill="1" applyBorder="1" applyAlignment="1">
      <x:alignment wrapText="1"/>
    </x:xf>
    <x:xf numFmtId="203" fontId="7" fillId="20" borderId="0" xfId="0" applyNumberFormat="1" applyFont="1" applyFill="1" applyBorder="1" applyAlignment="1">
      <x:alignment wrapText="1"/>
    </x:xf>
    <x:xf numFmtId="207" fontId="10" fillId="0" borderId="0" xfId="0" applyNumberFormat="1" applyFont="1" applyFill="1" applyBorder="1" applyAlignment="1">
      <x:alignment wrapText="1"/>
    </x:xf>
    <x:xf numFmtId="203" fontId="0" fillId="0" borderId="0" xfId="0" applyNumberFormat="1" applyFont="1" applyFill="1" applyBorder="1" applyAlignment="1">
      <x:alignment wrapText="1"/>
    </x:xf>
    <x:xf numFmtId="206" fontId="7" fillId="20" borderId="0" xfId="0" applyNumberFormat="1" applyFont="1" applyFill="1" applyBorder="1" applyAlignment="1">
      <x:alignment wrapText="1"/>
    </x:xf>
    <x:xf numFmtId="206" fontId="10" fillId="0" borderId="0" xfId="0" applyNumberFormat="1" applyFont="1" applyFill="1" applyBorder="1" applyAlignment="1">
      <x:alignment wrapText="1"/>
    </x:xf>
    <x:xf numFmtId="208" fontId="10" fillId="0" borderId="0" xfId="0" applyNumberFormat="1" applyFont="1" applyFill="1" applyBorder="1" applyAlignment="1">
      <x:alignment wrapText="1"/>
    </x:xf>
    <x:xf numFmtId="205" fontId="7" fillId="20" borderId="0" xfId="0" applyNumberFormat="1" applyFont="1" applyFill="1" applyBorder="1" applyAlignment="1">
      <x:alignment wrapText="1"/>
    </x:xf>
    <x:xf numFmtId="205" fontId="10" fillId="0" borderId="0" xfId="0" applyNumberFormat="1" applyFont="1" applyFill="1" applyBorder="1" applyAlignment="1">
      <x:alignment wrapText="1"/>
    </x:xf>
    <x:xf numFmtId="205" fontId="0" fillId="0" borderId="0" xfId="0" applyNumberFormat="1" applyFont="1" applyFill="1" applyBorder="1" applyAlignment="1">
      <x:alignment wrapText="1"/>
    </x:xf>
    <x:xf numFmtId="206" fontId="7" fillId="21" borderId="0" xfId="0" applyNumberFormat="1" applyFont="1" applyFill="1" applyBorder="1" applyAlignment="1">
      <x:alignment wrapText="1"/>
    </x:xf>
    <x:xf numFmtId="210" fontId="7" fillId="21" borderId="0" xfId="0" applyNumberFormat="1" applyFont="1" applyFill="1" applyBorder="1" applyAlignment="1">
      <x:alignment wrapText="1"/>
    </x:xf>
    <x:xf numFmtId="203" fontId="7" fillId="21" borderId="0" xfId="0" applyNumberFormat="1" applyFont="1" applyFill="1" applyBorder="1" applyAlignment="1">
      <x:alignment wrapText="1"/>
    </x:xf>
    <x:xf numFmtId="0" fontId="15" fillId="18" borderId="0" xfId="0" applyNumberFormat="1" applyFont="1" applyFill="1" applyBorder="1" applyAlignment="1">
      <x:alignment wrapText="1"/>
    </x:xf>
    <x:xf numFmtId="206" fontId="0" fillId="0" borderId="0" xfId="0" applyNumberFormat="1" applyFont="1" applyFill="1" applyBorder="1" applyAlignment="1">
      <x:alignment wrapText="1"/>
    </x:xf>
    <x:xf numFmtId="209" fontId="0" fillId="0" borderId="0" xfId="0" applyNumberFormat="1" applyFont="1" applyFill="1" applyBorder="1" applyAlignment="1">
      <x:alignment wrapText="1"/>
    </x:xf>
    <x:xf numFmtId="211" fontId="10" fillId="0" borderId="0" xfId="0" applyNumberFormat="1" applyFont="1" applyFill="1" applyBorder="1" applyAlignment="1">
      <x:alignment wrapText="1"/>
    </x:xf>
    <x:xf numFmtId="0" fontId="0" fillId="21" borderId="0" xfId="0" applyNumberFormat="1" applyFont="1" applyFill="1" applyBorder="1"/>
    <x:xf numFmtId="0" fontId="7" fillId="21" borderId="0" xfId="0" applyNumberFormat="1" applyFont="1" applyFill="1" applyBorder="1"/>
    <x:xf numFmtId="0" fontId="0" fillId="2" borderId="0" xfId="0" applyNumberFormat="1" applyFont="1" applyFill="1" applyBorder="1" applyAlignment="1">
      <x:alignment wrapText="0"/>
    </x:xf>
    <x:xf numFmtId="0" fontId="12" fillId="2" borderId="0" xfId="0" applyNumberFormat="1" applyFont="1" applyFill="1" applyBorder="1" applyAlignment="1">
      <x:alignment wrapText="0"/>
    </x:xf>
    <x:xf numFmtId="0" fontId="3" fillId="3" borderId="0" xfId="0" applyNumberFormat="1" applyFont="1" applyFill="1" applyBorder="1"/>
    <x:xf numFmtId="203" fontId="7" fillId="4" borderId="0" xfId="0" applyNumberFormat="1" applyFont="1" applyFill="1" applyBorder="1"/>
    <x:xf numFmtId="206" fontId="7" fillId="4" borderId="0" xfId="0" applyNumberFormat="1" applyFont="1" applyFill="1" applyBorder="1"/>
    <x:xf numFmtId="205" fontId="7" fillId="4" borderId="0" xfId="0" applyNumberFormat="1" applyFont="1" applyFill="1" applyBorder="1"/>
    <x:xf numFmtId="205" fontId="0" fillId="3" borderId="0" xfId="0" applyNumberFormat="1" applyFont="1" applyFill="1" applyBorder="1"/>
    <x:xf numFmtId="205" fontId="2" fillId="3" borderId="0" xfId="0" applyNumberFormat="1" applyFont="1" applyFill="1" applyBorder="1"/>
    <x:xf numFmtId="203" fontId="0" fillId="3" borderId="0" xfId="0" applyNumberFormat="1" applyFont="1" applyFill="1" applyBorder="1"/>
    <x:xf numFmtId="203" fontId="10" fillId="3" borderId="0" xfId="0" applyNumberFormat="1" applyFont="1" applyFill="1" applyBorder="1"/>
    <x:xf numFmtId="203" fontId="2" fillId="3" borderId="0" xfId="0" applyNumberFormat="1" applyFont="1" applyFill="1" applyBorder="1"/>
    <x:xf numFmtId="206" fontId="0" fillId="3" borderId="0" xfId="0" applyNumberFormat="1" applyFont="1" applyFill="1" applyBorder="1"/>
    <x:xf numFmtId="206" fontId="2" fillId="3" borderId="0" xfId="0" applyNumberFormat="1" applyFont="1" applyFill="1" applyBorder="1"/>
    <x:xf numFmtId="206" fontId="2" fillId="3" borderId="0" xfId="0" applyNumberFormat="1" applyFont="1" applyFill="1" applyBorder="1" applyAlignment="1">
      <x:alignment wrapText="1"/>
    </x:xf>
    <x:xf numFmtId="208" fontId="10" fillId="3" borderId="0" xfId="0" applyNumberFormat="1" applyFont="1" applyFill="1" applyBorder="1"/>
    <x:xf numFmtId="208" fontId="2" fillId="3" borderId="0" xfId="0" applyNumberFormat="1" applyFont="1" applyFill="1" applyBorder="1"/>
    <x:xf numFmtId="208" fontId="2" fillId="3" borderId="0" xfId="0" applyNumberFormat="1" applyFont="1" applyFill="1" applyBorder="1" applyAlignment="1">
      <x:alignment wrapText="1"/>
    </x:xf>
    <x:xf numFmtId="209" fontId="10" fillId="3" borderId="0" xfId="0" applyNumberFormat="1" applyFont="1" applyFill="1" applyBorder="1"/>
    <x:xf numFmtId="209" fontId="2" fillId="3" borderId="0" xfId="0" applyNumberFormat="1" applyFont="1" applyFill="1" applyBorder="1"/>
    <x:xf numFmtId="210" fontId="7" fillId="7" borderId="0" xfId="0" applyNumberFormat="1" applyFont="1" applyFill="1" applyBorder="1"/>
    <x:xf numFmtId="206" fontId="10" fillId="3" borderId="0" xfId="0" applyNumberFormat="1" applyFont="1" applyFill="1" applyBorder="1"/>
    <x:xf numFmtId="0" fontId="15" fillId="2" borderId="0" xfId="0" applyNumberFormat="1" applyFont="1" applyFill="1" applyBorder="1"/>
    <x:xf numFmtId="0" fontId="12" fillId="2" borderId="0" xfId="0" applyNumberFormat="1" applyFont="1" applyFill="1" applyBorder="1" applyAlignment="1">
      <x:alignment wrapText="1"/>
    </x:xf>
    <x:xf numFmtId="201" fontId="7" fillId="4" borderId="0" xfId="0" applyNumberFormat="1" applyFont="1" applyFill="1" applyBorder="1" applyAlignment="1">
      <x:alignment wrapText="1"/>
    </x:xf>
    <x:xf numFmtId="203" fontId="7" fillId="4" borderId="0" xfId="0" applyNumberFormat="1" applyFont="1" applyFill="1" applyBorder="1" applyAlignment="1">
      <x:alignment wrapText="1"/>
    </x:xf>
    <x:xf numFmtId="206" fontId="7" fillId="4" borderId="0" xfId="0" applyNumberFormat="1" applyFont="1" applyFill="1" applyBorder="1" applyAlignment="1">
      <x:alignment wrapText="1"/>
    </x:xf>
    <x:xf numFmtId="205" fontId="7" fillId="4" borderId="0" xfId="0" applyNumberFormat="1" applyFont="1" applyFill="1" applyBorder="1" applyAlignment="1">
      <x:alignment wrapText="1"/>
    </x:xf>
    <x:xf numFmtId="206" fontId="7" fillId="7" borderId="0" xfId="0" applyNumberFormat="1" applyFont="1" applyFill="1" applyBorder="1" applyAlignment="1">
      <x:alignment wrapText="1"/>
    </x:xf>
    <x:xf numFmtId="210" fontId="7" fillId="7" borderId="0" xfId="0" applyNumberFormat="1" applyFont="1" applyFill="1" applyBorder="1" applyAlignment="1">
      <x:alignment wrapText="1"/>
    </x:xf>
    <x:xf numFmtId="203" fontId="7" fillId="7" borderId="0" xfId="0" applyNumberFormat="1" applyFont="1" applyFill="1" applyBorder="1" applyAlignment="1">
      <x:alignment wrapText="1"/>
    </x:xf>
    <x:xf numFmtId="0" fontId="15" fillId="2" borderId="0" xfId="0" applyNumberFormat="1" applyFont="1" applyFill="1" applyBorder="1" applyAlignment="1">
      <x:alignment wrapText="1"/>
    </x:xf>
    <x:xf numFmtId="0" fontId="0" fillId="23" borderId="0" xfId="0" applyNumberFormat="1" applyFont="1" applyFill="1" applyBorder="1"/>
    <x:xf numFmtId="0" fontId="16" fillId="23" borderId="0" xfId="0" applyNumberFormat="1" applyFont="1" applyFill="1" applyBorder="1"/>
    <x:xf numFmtId="0" fontId="16" fillId="23" borderId="0" xfId="0" applyNumberFormat="1" applyFont="1" applyFill="1" applyBorder="1" applyAlignment="1">
      <x:alignment vertical="center"/>
    </x:xf>
    <x:xf numFmtId="0" fontId="0" fillId="24" borderId="0" xfId="0" applyNumberFormat="1" applyFont="1" applyFill="1" applyBorder="1"/>
    <x:xf numFmtId="0" fontId="2" fillId="24" borderId="0" xfId="0" applyNumberFormat="1" applyFont="1" applyFill="1" applyBorder="1"/>
    <x:xf numFmtId="0" fontId="17" fillId="24" borderId="0" xfId="0" applyNumberFormat="1" applyFont="1" applyFill="1" applyBorder="1"/>
    <x:xf numFmtId="201" fontId="7" fillId="0" borderId="0" xfId="0" applyNumberFormat="1" applyFont="1" applyFill="1" applyBorder="1"/>
    <x:xf numFmtId="212" fontId="0" fillId="0" borderId="0" xfId="0" applyNumberFormat="1" applyFont="1" applyFill="1" applyBorder="1"/>
    <x:xf numFmtId="213" fontId="0" fillId="0" borderId="0" xfId="0" applyNumberFormat="1" applyFont="1" applyFill="1" applyBorder="1"/>
    <x:xf numFmtId="214" fontId="0" fillId="0" borderId="0" xfId="0" applyNumberFormat="1" applyFont="1" applyFill="1" applyBorder="1"/>
    <x:xf numFmtId="214" fontId="7" fillId="0" borderId="0" xfId="0" applyNumberFormat="1" applyFont="1" applyFill="1" applyBorder="1"/>
    <x:xf numFmtId="0" fontId="16" fillId="23" borderId="0" xfId="0" applyNumberFormat="1" applyFont="1" applyFill="1" applyBorder="1" applyAlignment="1">
      <x:alignment vertical="center" wrapText="1"/>
    </x:xf>
    <x:xf numFmtId="0" fontId="2" fillId="24" borderId="0" xfId="0" applyNumberFormat="1" applyFont="1" applyFill="1" applyBorder="1" applyAlignment="1">
      <x:alignment wrapText="1"/>
    </x:xf>
    <x:xf numFmtId="0" fontId="17" fillId="24" borderId="0" xfId="0" applyNumberFormat="1" applyFont="1" applyFill="1" applyBorder="1" applyAlignment="1">
      <x:alignment wrapText="1"/>
    </x:xf>
    <x:xf numFmtId="0" fontId="7" fillId="0" borderId="0" xfId="0" applyNumberFormat="1" applyFont="1" applyFill="1" applyBorder="1" applyAlignment="1">
      <x:alignment wrapText="1"/>
    </x:xf>
    <x:xf numFmtId="201" fontId="7" fillId="0" borderId="0" xfId="0" applyNumberFormat="1" applyFont="1" applyFill="1" applyBorder="1" applyAlignment="1">
      <x:alignment wrapText="1"/>
    </x:xf>
    <x:xf numFmtId="201" fontId="0" fillId="0" borderId="0" xfId="0" applyNumberFormat="1" applyFont="1" applyFill="1" applyBorder="1" applyAlignment="1">
      <x:alignment wrapText="1"/>
    </x:xf>
    <x:xf numFmtId="212" fontId="0" fillId="0" borderId="0" xfId="0" applyNumberFormat="1" applyFont="1" applyFill="1" applyBorder="1" applyAlignment="1">
      <x:alignment wrapText="1"/>
    </x:xf>
    <x:xf numFmtId="213" fontId="0" fillId="0" borderId="0" xfId="0" applyNumberFormat="1" applyFont="1" applyFill="1" applyBorder="1" applyAlignment="1">
      <x:alignment wrapText="1"/>
    </x:xf>
    <x:xf numFmtId="214" fontId="7" fillId="0" borderId="0" xfId="0" applyNumberFormat="1" applyFont="1" applyFill="1" applyBorder="1" applyAlignment="1">
      <x:alignment wrapText="1"/>
    </x:xf>
    <x:xf numFmtId="0" fontId="16" fillId="23" borderId="0" xfId="0" applyNumberFormat="1" applyFont="1" applyFill="1" applyBorder="1" applyAlignment="1">
      <x:alignment vertical="top" wrapText="1"/>
    </x:xf>
    <x:xf numFmtId="0" fontId="2" fillId="24" borderId="0" xfId="0" applyNumberFormat="1" applyFont="1" applyFill="1" applyBorder="1" applyAlignment="1">
      <x:alignment vertical="top" wrapText="1"/>
    </x:xf>
    <x:xf numFmtId="0" fontId="17" fillId="24" borderId="0" xfId="0" applyNumberFormat="1" applyFont="1" applyFill="1" applyBorder="1" applyAlignment="1">
      <x:alignment vertical="top" wrapText="1"/>
    </x:xf>
    <x:xf numFmtId="0" fontId="7" fillId="0" borderId="0" xfId="0" applyNumberFormat="1" applyFont="1" applyFill="1" applyBorder="1" applyAlignment="1">
      <x:alignment vertical="top" wrapText="1"/>
    </x:xf>
    <x:xf numFmtId="201" fontId="7" fillId="0" borderId="0" xfId="0" applyNumberFormat="1" applyFont="1" applyFill="1" applyBorder="1" applyAlignment="1">
      <x:alignment vertical="top" wrapText="1"/>
    </x:xf>
    <x:xf numFmtId="201" fontId="0" fillId="0" borderId="0" xfId="0" applyNumberFormat="1" applyFont="1" applyFill="1" applyBorder="1" applyAlignment="1">
      <x:alignment vertical="top" wrapText="1"/>
    </x:xf>
    <x:xf numFmtId="212" fontId="0" fillId="0" borderId="0" xfId="0" applyNumberFormat="1" applyFont="1" applyFill="1" applyBorder="1" applyAlignment="1">
      <x:alignment vertical="top" wrapText="1"/>
    </x:xf>
    <x:xf numFmtId="213" fontId="0" fillId="0" borderId="0" xfId="0" applyNumberFormat="1" applyFont="1" applyFill="1" applyBorder="1" applyAlignment="1">
      <x:alignment vertical="top" wrapText="1"/>
    </x:xf>
    <x:xf numFmtId="205" fontId="0" fillId="0" borderId="0" xfId="0" applyNumberFormat="1" applyFont="1" applyFill="1" applyBorder="1" applyAlignment="1">
      <x:alignment vertical="top" wrapText="1"/>
    </x:xf>
    <x:xf numFmtId="214" fontId="7" fillId="0" borderId="0" xfId="0" applyNumberFormat="1" applyFont="1" applyFill="1" applyBorder="1" applyAlignment="1">
      <x:alignment vertical="top" wrapText="1"/>
    </x:xf>
    <x:xf numFmtId="0" fontId="18" fillId="23" borderId="0" xfId="0" applyNumberFormat="1" applyFont="1" applyFill="1" applyBorder="1" applyAlignment="1">
      <x:alignment vertical="top" wrapText="1"/>
    </x:xf>
    <x:xf numFmtId="0" fontId="19" fillId="0" borderId="0" xfId="0" applyNumberFormat="1" applyFont="1" applyFill="1" applyBorder="1" applyAlignment="1">
      <x:alignment vertical="top" wrapText="1"/>
    </x:xf>
    <x:xf numFmtId="0" fontId="20" fillId="24" borderId="0" xfId="0" applyNumberFormat="1" applyFont="1" applyFill="1" applyBorder="1" applyAlignment="1">
      <x:alignment vertical="top" wrapText="1"/>
    </x:xf>
    <x:xf numFmtId="0" fontId="21" fillId="24" borderId="0" xfId="0" applyNumberFormat="1" applyFont="1" applyFill="1" applyBorder="1" applyAlignment="1">
      <x:alignment vertical="top" wrapText="1"/>
    </x:xf>
    <x:xf numFmtId="0" fontId="22" fillId="0" borderId="0" xfId="0" applyNumberFormat="1" applyFont="1" applyFill="1" applyBorder="1" applyAlignment="1">
      <x:alignment vertical="top" wrapText="1"/>
    </x:xf>
    <x:xf numFmtId="201" fontId="22" fillId="0" borderId="0" xfId="0" applyNumberFormat="1" applyFont="1" applyFill="1" applyBorder="1" applyAlignment="1">
      <x:alignment vertical="top" wrapText="1"/>
    </x:xf>
    <x:xf numFmtId="201" fontId="19" fillId="0" borderId="0" xfId="0" applyNumberFormat="1" applyFont="1" applyFill="1" applyBorder="1" applyAlignment="1">
      <x:alignment vertical="top" wrapText="1"/>
    </x:xf>
    <x:xf numFmtId="212" fontId="19" fillId="0" borderId="0" xfId="0" applyNumberFormat="1" applyFont="1" applyFill="1" applyBorder="1" applyAlignment="1">
      <x:alignment vertical="top" wrapText="1"/>
    </x:xf>
    <x:xf numFmtId="213" fontId="19" fillId="0" borderId="0" xfId="0" applyNumberFormat="1" applyFont="1" applyFill="1" applyBorder="1" applyAlignment="1">
      <x:alignment vertical="top" wrapText="1"/>
    </x:xf>
    <x:xf numFmtId="205" fontId="19" fillId="0" borderId="0" xfId="0" applyNumberFormat="1" applyFont="1" applyFill="1" applyBorder="1" applyAlignment="1">
      <x:alignment vertical="top" wrapText="1"/>
    </x:xf>
    <x:xf numFmtId="214" fontId="22" fillId="0" borderId="0" xfId="0" applyNumberFormat="1" applyFont="1" applyFill="1" applyBorder="1" applyAlignment="1">
      <x:alignment vertical="top" wrapText="1"/>
    </x:xf>
    <x:xf numFmtId="0" fontId="23" fillId="23" borderId="0" xfId="0" applyNumberFormat="1" applyFont="1" applyFill="1" applyBorder="1" applyAlignment="1">
      <x:alignment vertical="top" wrapText="1"/>
    </x:xf>
    <x:xf numFmtId="0" fontId="20" fillId="0" borderId="0" xfId="0" applyNumberFormat="1" applyFont="1" applyFill="1" applyBorder="1" applyAlignment="1">
      <x:alignment vertical="top" wrapText="1"/>
    </x:xf>
    <x:xf numFmtId="0" fontId="0" fillId="25" borderId="0" xfId="0" applyNumberFormat="1" applyFont="1" applyFill="1" applyBorder="1"/>
    <x:xf numFmtId="0" fontId="2" fillId="25" borderId="0" xfId="0" applyNumberFormat="1" applyFont="1" applyFill="1" applyBorder="1"/>
    <x:xf numFmtId="0" fontId="2" fillId="25" borderId="0" xfId="0" applyNumberFormat="1" applyFont="1" applyFill="1" applyBorder="1" applyAlignment="1">
      <x:alignment wrapText="1"/>
    </x:xf>
    <x:xf numFmtId="0" fontId="2" fillId="25" borderId="0" xfId="0" applyNumberFormat="1" applyFont="1" applyFill="1" applyBorder="1" applyAlignment="1">
      <x:alignment horizontal="center" wrapText="1"/>
    </x:xf>
    <x:xf numFmtId="0" fontId="2" fillId="25" borderId="0" xfId="0" applyNumberFormat="1" applyFont="1" applyFill="1" applyBorder="1" applyAlignment="1">
      <x:alignment horizontal="center" vertical="center" wrapText="1"/>
    </x:xf>
    <x:xf numFmtId="205" fontId="0" fillId="0" borderId="0" xfId="0" applyNumberFormat="1" applyFont="1" applyFill="1" applyBorder="1" applyAlignment="1">
      <x:alignment wrapText="0"/>
    </x:xf>
    <x:xf numFmtId="0" fontId="0" fillId="26" borderId="0" xfId="0" applyNumberFormat="1" applyFont="1" applyFill="1" applyBorder="1"/>
    <x:xf numFmtId="0" fontId="9" fillId="26" borderId="0" xfId="0" applyNumberFormat="1" applyFont="1" applyFill="1" applyBorder="1"/>
    <x:xf numFmtId="0" fontId="9" fillId="26" borderId="0" xfId="0" applyNumberFormat="1" applyFont="1" applyFill="1" applyBorder="1" applyAlignment="1">
      <x:alignment wrapText="1"/>
    </x:xf>
    <x:xf numFmtId="0" fontId="7" fillId="27" borderId="0" xfId="0" applyNumberFormat="1" applyFont="1" applyFill="1" applyBorder="1"/>
    <x:xf numFmtId="201" fontId="7" fillId="27" borderId="0" xfId="0" applyNumberFormat="1" applyFont="1" applyFill="1" applyBorder="1"/>
    <x:xf numFmtId="215" fontId="7" fillId="27" borderId="0" xfId="0" applyNumberFormat="1" applyFont="1" applyFill="1" applyBorder="1"/>
    <x:xf numFmtId="0" fontId="0" fillId="27" borderId="0" xfId="0" applyNumberFormat="1" applyFont="1" applyFill="1" applyBorder="1"/>
    <x:xf numFmtId="0" fontId="9" fillId="27" borderId="0" xfId="0" applyNumberFormat="1" applyFont="1" applyFill="1" applyBorder="1"/>
    <x:xf numFmtId="0" fontId="9" fillId="27" borderId="0" xfId="0" applyNumberFormat="1" applyFont="1" applyFill="1" applyBorder="1" applyAlignment="1">
      <x:alignment wrapText="1"/>
    </x:xf>
    <x:xf numFmtId="212" fontId="7" fillId="27" borderId="0" xfId="0" applyNumberFormat="1" applyFont="1" applyFill="1" applyBorder="1"/>
    <x:xf numFmtId="212" fontId="7" fillId="27" borderId="0" xfId="0" applyNumberFormat="1" applyFont="1" applyFill="1" applyBorder="1" applyAlignment="1">
      <x:alignment wrapText="1"/>
    </x:xf>
    <x:xf numFmtId="201" fontId="7" fillId="27" borderId="0" xfId="0" applyNumberFormat="1" applyFont="1" applyFill="1" applyBorder="1" applyAlignment="1">
      <x:alignment wrapText="1"/>
    </x:xf>
    <x:xf numFmtId="215" fontId="7" fillId="27" borderId="0" xfId="0" applyNumberFormat="1" applyFont="1" applyFill="1" applyBorder="1" applyAlignment="1">
      <x:alignment wrapText="1"/>
    </x:xf>
    <x:xf numFmtId="215" fontId="7" fillId="4" borderId="0" xfId="0" applyNumberFormat="1" applyFont="1" applyFill="1" applyBorder="1"/>
    <x:xf numFmtId="0" fontId="9" fillId="4" borderId="0" xfId="0" applyNumberFormat="1" applyFont="1" applyFill="1" applyBorder="1"/>
    <x:xf numFmtId="0" fontId="9" fillId="4" borderId="0" xfId="0" applyNumberFormat="1" applyFont="1" applyFill="1" applyBorder="1" applyAlignment="1">
      <x:alignment wrapText="1"/>
    </x:xf>
    <x:xf numFmtId="212" fontId="7" fillId="4" borderId="0" xfId="0" applyNumberFormat="1" applyFont="1" applyFill="1" applyBorder="1"/>
    <x:xf numFmtId="212" fontId="7" fillId="4" borderId="0" xfId="0" applyNumberFormat="1" applyFont="1" applyFill="1" applyBorder="1" applyAlignment="1">
      <x:alignment wrapText="1"/>
    </x:xf>
    <x:xf numFmtId="215" fontId="7" fillId="4" borderId="0" xfId="0" applyNumberFormat="1" applyFont="1" applyFill="1" applyBorder="1" applyAlignment="1">
      <x:alignment wrapText="1"/>
    </x:xf>
    <x:xf numFmtId="0" fontId="20" fillId="28" borderId="0" xfId="0" applyNumberFormat="1" applyFont="1" applyFill="1" applyBorder="1" applyAlignment="1">
      <x:alignment vertical="top" wrapText="1"/>
    </x:xf>
    <x:xf numFmtId="0" fontId="20" fillId="29" borderId="0" xfId="0" applyNumberFormat="1" applyFont="1" applyFill="1" applyBorder="1" applyAlignment="1">
      <x:alignment vertical="top" wrapText="1"/>
    </x:xf>
    <x:xf numFmtId="0" fontId="0" fillId="29" borderId="0" xfId="0" applyNumberFormat="1" applyFont="1" applyFill="1" applyBorder="1"/>
    <x:xf numFmtId="0" fontId="9" fillId="29" borderId="0" xfId="0" applyNumberFormat="1" applyFont="1" applyFill="1" applyBorder="1"/>
    <x:xf numFmtId="0" fontId="7" fillId="30" borderId="0" xfId="0" applyNumberFormat="1" applyFont="1" applyFill="1" applyBorder="1"/>
    <x:xf numFmtId="0" fontId="0" fillId="28" borderId="0" xfId="0" applyNumberFormat="1" applyFont="1" applyFill="1" applyBorder="1"/>
    <x:xf numFmtId="0" fontId="2" fillId="28" borderId="0" xfId="0" applyNumberFormat="1" applyFont="1" applyFill="1" applyBorder="1"/>
    <x:xf numFmtId="0" fontId="17" fillId="0" borderId="0" xfId="0" applyNumberFormat="1" applyFont="1" applyFill="1" applyBorder="1"/>
    <x:xf numFmtId="0" fontId="17" fillId="30" borderId="0" xfId="0" applyNumberFormat="1" applyFont="1" applyFill="1" applyBorder="1"/>
    <x:xf numFmtId="0" fontId="9" fillId="0" borderId="0" xfId="0" applyNumberFormat="1" applyFont="1" applyFill="1" applyBorder="1"/>
    <x:xf numFmtId="0" fontId="9" fillId="0" borderId="0" xfId="0" applyNumberFormat="1" applyFont="1" applyFill="1" applyBorder="1" applyAlignment="1">
      <x:alignment wrapText="1"/>
    </x:xf>
    <x:xf numFmtId="0" fontId="17" fillId="30" borderId="0" xfId="0" applyNumberFormat="1" applyFont="1" applyFill="1" applyBorder="1" applyAlignment="1">
      <x:alignment wrapText="1"/>
    </x:xf>
    <x:xf numFmtId="0" fontId="9" fillId="29" borderId="0" xfId="0" applyNumberFormat="1" applyFont="1" applyFill="1" applyBorder="1" applyAlignment="1">
      <x:alignment horizontal="center"/>
    </x:xf>
    <x:xf numFmtId="0" fontId="0" fillId="31" borderId="0" xfId="0" applyNumberFormat="1" applyFont="1" applyFill="1" applyBorder="1"/>
    <x:xf numFmtId="0" fontId="24" fillId="31" borderId="0" xfId="0" applyNumberFormat="1" applyFont="1" applyFill="1" applyBorder="1"/>
    <x:xf numFmtId="0" fontId="2" fillId="28" borderId="0" xfId="0" applyNumberFormat="1" applyFont="1" applyFill="1" applyBorder="1" applyAlignment="1">
      <x:alignment wrapText="1"/>
    </x:xf>
    <x:xf numFmtId="0" fontId="2" fillId="31" borderId="0" xfId="0" applyNumberFormat="1" applyFont="1" applyFill="1" applyBorder="1"/>
    <x:xf numFmtId="0" fontId="7" fillId="29" borderId="0" xfId="0" applyNumberFormat="1" applyFont="1" applyFill="1" applyBorder="1"/>
    <x:xf numFmtId="0" fontId="17" fillId="29" borderId="0" xfId="0" applyNumberFormat="1" applyFont="1" applyFill="1" applyBorder="1"/>
    <x:xf numFmtId="0" fontId="20" fillId="25" borderId="0" xfId="0" applyNumberFormat="1" applyFont="1" applyFill="1" applyBorder="1" applyAlignment="1">
      <x:alignment vertical="top" wrapText="1"/>
    </x:xf>
    <x:xf numFmtId="0" fontId="20" fillId="26" borderId="0" xfId="0" applyNumberFormat="1" applyFont="1" applyFill="1" applyBorder="1" applyAlignment="1">
      <x:alignment vertical="top" wrapText="1"/>
    </x:xf>
    <x:xf numFmtId="0" fontId="17" fillId="4" borderId="0" xfId="0" applyNumberFormat="1" applyFont="1" applyFill="1" applyBorder="1"/>
    <x:xf numFmtId="0" fontId="17" fillId="4" borderId="0" xfId="0" applyNumberFormat="1" applyFont="1" applyFill="1" applyBorder="1" applyAlignment="1">
      <x:alignment wrapText="1"/>
    </x:xf>
    <x:xf numFmtId="0" fontId="9" fillId="26" borderId="0" xfId="0" applyNumberFormat="1" applyFont="1" applyFill="1" applyBorder="1" applyAlignment="1">
      <x:alignment horizontal="center"/>
    </x:xf>
    <x:xf numFmtId="0" fontId="7" fillId="26" borderId="0" xfId="0" applyNumberFormat="1" applyFont="1" applyFill="1" applyBorder="1"/>
    <x:xf numFmtId="0" fontId="17" fillId="26" borderId="0" xfId="0" applyNumberFormat="1" applyFont="1" applyFill="1" applyBorder="1"/>
    <x:xf numFmtId="0" fontId="0" fillId="32" borderId="0" xfId="0" applyNumberFormat="1" applyFont="1" applyFill="1" applyBorder="1"/>
    <x:xf numFmtId="0" fontId="24" fillId="32" borderId="0" xfId="0" applyNumberFormat="1" applyFont="1" applyFill="1" applyBorder="1"/>
    <x:xf numFmtId="0" fontId="0" fillId="33" borderId="0" xfId="0" applyNumberFormat="1" applyFont="1" applyFill="1" applyBorder="1"/>
    <x:xf numFmtId="0" fontId="2" fillId="33" borderId="0" xfId="0" applyNumberFormat="1" applyFont="1" applyFill="1" applyBorder="1"/>
    <x:xf numFmtId="0" fontId="2" fillId="33" borderId="0" xfId="0" applyNumberFormat="1" applyFont="1" applyFill="1" applyBorder="1" applyAlignment="1">
      <x:alignment wrapText="1"/>
    </x:xf>
    <x:xf numFmtId="0" fontId="0" fillId="34" borderId="0" xfId="0" applyNumberFormat="1" applyFont="1" applyFill="1" applyBorder="1"/>
    <x:xf numFmtId="0" fontId="9" fillId="34" borderId="0" xfId="0" applyNumberFormat="1" applyFont="1" applyFill="1" applyBorder="1"/>
    <x:xf numFmtId="0" fontId="7" fillId="35" borderId="0" xfId="0" applyNumberFormat="1" applyFont="1" applyFill="1" applyBorder="1"/>
    <x:xf numFmtId="201" fontId="7" fillId="35" borderId="0" xfId="0" applyNumberFormat="1" applyFont="1" applyFill="1" applyBorder="1"/>
    <x:xf numFmtId="0" fontId="0" fillId="36" borderId="0" xfId="0" applyNumberFormat="1" applyFont="1" applyFill="1" applyBorder="1"/>
    <x:xf numFmtId="0" fontId="2" fillId="36" borderId="0" xfId="0" applyNumberFormat="1" applyFont="1" applyFill="1" applyBorder="1"/>
    <x:xf numFmtId="0" fontId="0" fillId="37" borderId="0" xfId="0" applyNumberFormat="1" applyFont="1" applyFill="1" applyBorder="1"/>
    <x:xf numFmtId="0" fontId="9" fillId="37" borderId="0" xfId="0" applyNumberFormat="1" applyFont="1" applyFill="1" applyBorder="1"/>
    <x:xf numFmtId="0" fontId="7" fillId="38" borderId="0" xfId="0" applyNumberFormat="1" applyFont="1" applyFill="1" applyBorder="1"/>
    <x:xf numFmtId="0" fontId="0" fillId="38" borderId="0" xfId="0" applyNumberFormat="1" applyFont="1" applyFill="1" applyBorder="1"/>
    <x:xf numFmtId="0" fontId="5" fillId="38" borderId="0" xfId="0" applyNumberFormat="1" applyFont="1" applyFill="1" applyBorder="1"/>
    <x:xf numFmtId="0" fontId="0" fillId="39" borderId="0" xfId="0" applyNumberFormat="1" applyFont="1" applyFill="1" applyBorder="1"/>
    <x:xf numFmtId="0" fontId="2" fillId="39" borderId="0" xfId="0" applyNumberFormat="1" applyFont="1" applyFill="1" applyBorder="1"/>
    <x:xf numFmtId="0" fontId="17" fillId="38" borderId="0" xfId="0" applyNumberFormat="1" applyFont="1" applyFill="1" applyBorder="1" applyAlignment="1">
      <x:alignment wrapText="1"/>
    </x:xf>
    <x:xf numFmtId="201" fontId="5" fillId="4" borderId="0" xfId="0" applyNumberFormat="1" applyFont="1" applyFill="1" applyBorder="1"/>
    <x:xf numFmtId="201" fontId="5" fillId="40" borderId="0" xfId="0" applyNumberFormat="1" applyFont="1" applyFill="1" applyBorder="1"/>
    <x:xf numFmtId="212" fontId="5" fillId="40" borderId="0" xfId="0" applyNumberFormat="1" applyFont="1" applyFill="1" applyBorder="1"/>
    <x:xf numFmtId="0" fontId="2" fillId="39" borderId="0" xfId="0" applyNumberFormat="1" applyFont="1" applyFill="1" applyBorder="1" applyAlignment="1">
      <x:alignment wrapText="1"/>
    </x:xf>
    <x:xf numFmtId="0" fontId="9" fillId="37" borderId="0" xfId="0" applyNumberFormat="1" applyFont="1" applyFill="1" applyBorder="1" applyAlignment="1">
      <x:alignment wrapText="1"/>
    </x:xf>
    <x:xf numFmtId="0" fontId="2" fillId="36" borderId="0" xfId="0" applyNumberFormat="1" applyFont="1" applyFill="1" applyBorder="1" applyAlignment="1">
      <x:alignment wrapText="1"/>
    </x:xf>
    <x:xf numFmtId="0" fontId="7" fillId="38" borderId="0" xfId="0" applyNumberFormat="1" applyFont="1" applyFill="1" applyBorder="1" applyAlignment="1">
      <x:alignment wrapText="1"/>
    </x:xf>
    <x:xf numFmtId="0" fontId="5" fillId="38" borderId="0" xfId="0" applyNumberFormat="1" applyFont="1" applyFill="1" applyBorder="1" applyAlignment="1">
      <x:alignment wrapText="1"/>
    </x:xf>
    <x:xf numFmtId="0" fontId="5" fillId="4" borderId="0" xfId="0" applyNumberFormat="1" applyFont="1" applyFill="1" applyBorder="1"/>
    <x:xf numFmtId="0" fontId="2" fillId="31" borderId="0" xfId="0" applyNumberFormat="1" applyFont="1" applyFill="1" applyBorder="1" applyAlignment="1">
      <x:alignment wrapText="1"/>
    </x:xf>
    <x:xf numFmtId="0" fontId="7" fillId="4" borderId="0" xfId="0" applyNumberFormat="1" applyFont="1" applyFill="1" applyBorder="1" applyAlignment="1">
      <x:alignment wrapText="1"/>
    </x:xf>
    <x:xf numFmtId="0" fontId="5" fillId="4" borderId="0" xfId="0" applyNumberFormat="1" applyFont="1" applyFill="1" applyBorder="1" applyAlignment="1">
      <x:alignment wrapText="1"/>
    </x:xf>
    <x:xf numFmtId="0" fontId="7" fillId="41" borderId="0" xfId="0" applyNumberFormat="1" applyFont="1" applyFill="1" applyBorder="1" applyAlignment="1">
      <x:alignment wrapText="1"/>
    </x:xf>
    <x:xf numFmtId="0" fontId="25" fillId="0" borderId="0" xfId="0" applyNumberFormat="1" applyFont="1" applyFill="1" applyBorder="1" applyAlignment="1">
      <x:alignment vertical="top" wrapText="1"/>
    </x:xf>
  </x:cellXfs>
  <x:cellStyles count="1">
    <x:cellStyle name="Normal" xfId="0"/>
  </x:cellStyles>
  <x:dxfs count="15">
    <x:dxf>
      <x:font>
        <x:color rgb="FF9C0006"/>
      </x:font>
      <x:fill>
        <x:patternFill>
          <x:bgColor rgb="FFF8CBAD"/>
        </x:patternFill>
      </x:fill>
    </x:dxf>
    <x:dxf>
      <x:fill>
        <x:patternFill>
          <x:bgColor rgb="FFC6E0B4"/>
        </x:patternFill>
      </x:fill>
    </x:dxf>
    <x:dxf>
      <x:fill>
        <x:patternFill>
          <x:bgColor rgb="FFF8CBAD"/>
        </x:patternFill>
      </x:fill>
    </x:dxf>
    <x:dxf>
      <x:font>
        <x:color rgb="FF9C0006"/>
      </x:font>
      <x:fill>
        <x:patternFill>
          <x:bgColor rgb="FFF8CBAD"/>
        </x:patternFill>
      </x:fill>
    </x:dxf>
    <x:dxf>
      <x:font>
        <x:color rgb="FF9C0006"/>
      </x:font>
      <x:fill>
        <x:patternFill>
          <x:bgColor rgb="FFF8CBAD"/>
        </x:patternFill>
      </x:fill>
    </x:dxf>
    <x:dxf>
      <x:font>
        <x:color rgb="FF9C0006"/>
      </x:font>
      <x:fill>
        <x:patternFill>
          <x:bgColor rgb="FFF8CBAD"/>
        </x:patternFill>
      </x:fill>
    </x:dxf>
    <x:dxf>
      <x:font>
        <x:color rgb="FF9C0006"/>
      </x:font>
      <x:fill>
        <x:patternFill>
          <x:bgColor rgb="FFF8CBAD"/>
        </x:patternFill>
      </x:fill>
    </x:dxf>
    <x:dxf>
      <x:font>
        <x:color rgb="FF9C0006"/>
      </x:font>
      <x:fill>
        <x:patternFill>
          <x:bgColor rgb="FFF8CBAD"/>
        </x:patternFill>
      </x:fill>
    </x:dxf>
    <x:dxf>
      <x:font>
        <x:color rgb="FF9C0006"/>
      </x:font>
      <x:fill>
        <x:patternFill>
          <x:bgColor rgb="FFF8CBAD"/>
        </x:patternFill>
      </x:fill>
    </x:dxf>
    <x:dxf>
      <x:font>
        <x:b/>
        <x:color rgb="FF9C0006"/>
      </x:font>
      <x:fill>
        <x:patternFill>
          <x:bgColor rgb="FFF8CBAD"/>
        </x:patternFill>
      </x:fill>
    </x:dxf>
    <x:dxf>
      <x:font>
        <x:b/>
      </x:font>
      <x:fill>
        <x:patternFill>
          <x:bgColor rgb="FFC6E0B4"/>
        </x:patternFill>
      </x:fill>
    </x:dxf>
    <x:dxf>
      <x:fill>
        <x:patternFill>
          <x:bgColor rgb="FFFFF2CC"/>
        </x:patternFill>
      </x:fill>
    </x:dxf>
    <x:dxf>
      <x:fill>
        <x:patternFill>
          <x:bgColor rgb="FFC6E0B4"/>
        </x:patternFill>
      </x:fill>
    </x:dxf>
    <x:dxf>
      <x:font>
        <x:b/>
        <x:color rgb="FF9C0006"/>
      </x:font>
      <x:fill>
        <x:patternFill>
          <x:bgColor rgb="FFF8CBAD"/>
        </x:patternFill>
      </x:fill>
    </x:dxf>
    <x:dxf>
      <x:font>
        <x:b/>
      </x:font>
      <x:fill>
        <x:patternFill>
          <x:bgColor rgb="FFC6E0B4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4e2b1bd8ef4512" /><Relationship Type="http://schemas.openxmlformats.org/officeDocument/2006/relationships/theme" Target="/xl/theme/theme1.xml" Id="R813fa20c69024115" /><Relationship Type="http://schemas.openxmlformats.org/officeDocument/2006/relationships/sharedStrings" Target="/xl/sharedStrings.xml" Id="R984f97718fb24c45" /><Relationship Type="http://schemas.openxmlformats.org/officeDocument/2006/relationships/worksheet" Target="/xl/worksheets/sheet1.xml" Id="R1b1b7a6ee6b64cc6" /><Relationship Type="http://schemas.openxmlformats.org/officeDocument/2006/relationships/worksheet" Target="/xl/worksheets/sheet2.xml" Id="Rc3dbdddf98ee4985" /><Relationship Type="http://schemas.openxmlformats.org/officeDocument/2006/relationships/worksheet" Target="/xl/worksheets/sheet3.xml" Id="R15fdc3d278b74108" /><Relationship Type="http://schemas.openxmlformats.org/officeDocument/2006/relationships/worksheet" Target="/xl/worksheets/sheet4.xml" Id="Rc2e85e490f344baa" /><Relationship Type="http://schemas.openxmlformats.org/officeDocument/2006/relationships/worksheet" Target="/xl/worksheets/sheet5.xml" Id="R113c3a202cf34b2b" /><Relationship Type="http://schemas.openxmlformats.org/officeDocument/2006/relationships/worksheet" Target="/xl/worksheets/sheet6.xml" Id="R28cdb297344d433d" /><Relationship Type="http://schemas.openxmlformats.org/officeDocument/2006/relationships/worksheet" Target="/xl/worksheets/sheet7.xml" Id="Ref9576abbd3d4229" /><Relationship Type="http://schemas.openxmlformats.org/officeDocument/2006/relationships/worksheet" Target="/xl/worksheets/sheet8.xml" Id="R5d421be9079645ee" /><Relationship Type="http://schemas.openxmlformats.org/officeDocument/2006/relationships/worksheet" Target="/xl/worksheets/sheet9.xml" Id="R23680c5b158a4f4d" /><Relationship Type="http://schemas.openxmlformats.org/officeDocument/2006/relationships/worksheet" Target="/xl/worksheets/sheet10.xml" Id="R10b10c1d08954998" /><Relationship Type="http://schemas.openxmlformats.org/officeDocument/2006/relationships/worksheet" Target="/xl/worksheets/sheet11.xml" Id="Rcd39480420094d06" /><Relationship Type="http://schemas.openxmlformats.org/officeDocument/2006/relationships/worksheet" Target="/xl/worksheets/sheet12.xml" Id="R8998bfafb4eb4ceb" /><Relationship Type="http://schemas.openxmlformats.org/officeDocument/2006/relationships/worksheet" Target="/xl/worksheets/sheet13.xml" Id="Rdcb5b6b37d1a4f63" /><Relationship Type="http://schemas.openxmlformats.org/officeDocument/2006/relationships/worksheet" Target="/xl/worksheets/sheet14.xml" Id="Ra7569d5a615449aa" /><Relationship Type="http://schemas.openxmlformats.org/officeDocument/2006/relationships/worksheet" Target="/xl/worksheets/sheet15.xml" Id="R3d84c01c910f4e66" /><Relationship Type="http://schemas.openxmlformats.org/officeDocument/2006/relationships/worksheet" Target="/xl/worksheets/sheet16.xml" Id="Re9ef6a3e6b1a4b76" /><Relationship Type="http://schemas.openxmlformats.org/officeDocument/2006/relationships/worksheet" Target="/xl/worksheets/sheet17.xml" Id="R94f4721bceef4dd8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e4cf004f653846c2" /><Relationship Type="http://schemas.openxmlformats.org/officeDocument/2006/relationships/chart" Target="/xl/drawings/charts/chart2.xml" Id="R0fac06dc06604433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chart" Target="/xl/drawings/charts/chart3.xml" Id="R465044bda9474bc2" /></Relationships>
</file>

<file path=xl/drawings/_rels/drawing3.xml.rels>&#65279;<?xml version="1.0" encoding="utf-8"?><Relationships xmlns="http://schemas.openxmlformats.org/package/2006/relationships"><Relationship Type="http://schemas.openxmlformats.org/officeDocument/2006/relationships/chart" Target="/xl/drawings/charts/chart4.xml" Id="R1d6a900619964f1e" /></Relationships>
</file>

<file path=xl/drawings/_rels/drawing4.xml.rels>&#65279;<?xml version="1.0" encoding="utf-8"?><Relationships xmlns="http://schemas.openxmlformats.org/package/2006/relationships"><Relationship Type="http://schemas.openxmlformats.org/officeDocument/2006/relationships/chart" Target="/xl/drawings/charts/chart5.xml" Id="R9201d9171153405d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Сценарная стоимость QORSYS на 36 месяц</a:t>
            </a:r>
          </a:p>
        </c:rich>
      </c:tx>
    </c:title>
    <c:plotArea>
      <c:barChart>
        <c:barDir val="col"/>
        <c:grouping val="clustered"/>
        <c:varyColors val="0"/>
        <c:ser>
          <c:idx val="0"/>
          <c:order val="0"/>
          <c:tx>
            <c:v>Стоимость M36, ₽</c:v>
          </c:tx>
          <c:cat>
            <c:strRef>
              <c:f>'Обзор'!$X$2:$X$4</c:f>
              <c:strCache>
                <c:ptCount val="0"/>
              </c:strCache>
            </c:strRef>
          </c:cat>
          <c:val>
            <c:numRef>
              <c:f>'Обзор'!$Y$2:$Y$4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Минимальный остаток денег в стресс-тесте</a:t>
            </a:r>
          </a:p>
        </c:rich>
      </c:tx>
    </c:title>
    <c:plotArea>
      <c:barChart>
        <c:barDir val="col"/>
        <c:grouping val="clustered"/>
        <c:varyColors val="0"/>
        <c:ser>
          <c:idx val="0"/>
          <c:order val="0"/>
          <c:tx>
            <c:v>Минимальный cash, ₽</c:v>
          </c:tx>
          <c:cat>
            <c:strRef>
              <c:f>'Обзор'!$AA$2:$AA$5</c:f>
              <c:strCache>
                <c:ptCount val="0"/>
              </c:strCache>
            </c:strRef>
          </c:cat>
          <c:val>
            <c:numRef>
              <c:f>'Обзор'!$AB$2:$AB$5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3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Финансовая динамика по годам</a:t>
            </a:r>
          </a:p>
        </c:rich>
      </c:tx>
    </c:title>
    <c:plotArea>
      <c:barChart>
        <c:barDir val="col"/>
        <c:grouping val="clustered"/>
        <c:varyColors val="0"/>
        <c:ser>
          <c:idx val="0"/>
          <c:order val="0"/>
          <c:tx>
            <c:v>Год 1</c:v>
          </c:tx>
          <c:cat>
            <c:strRef>
              <c:f>'Сводка'!$A$17:$A$20</c:f>
              <c:strCache>
                <c:ptCount val="0"/>
              </c:strCache>
            </c:strRef>
          </c:cat>
          <c:val>
            <c:numRef>
              <c:f>'Сводка'!$B$17:$B$20</c:f>
              <c:numCache>
                <c:formatCode>#,##0 "₽";[Red](#,##0 "₽");-</c:formatCode>
                <c:ptCount val="0"/>
              </c:numCache>
            </c:numRef>
          </c:val>
        </c:ser>
        <c:ser>
          <c:idx val="1"/>
          <c:order val="1"/>
          <c:tx>
            <c:v>Год 2</c:v>
          </c:tx>
          <c:cat>
            <c:strRef>
              <c:f>'Сводка'!$A$17:$A$20</c:f>
              <c:strCache>
                <c:ptCount val="0"/>
              </c:strCache>
            </c:strRef>
          </c:cat>
          <c:val>
            <c:numRef>
              <c:f>'Сводка'!$C$17:$C$20</c:f>
              <c:numCache>
                <c:formatCode>#,##0 "₽";[Red](#,##0 "₽");-</c:formatCode>
                <c:ptCount val="0"/>
              </c:numCache>
            </c:numRef>
          </c:val>
        </c:ser>
        <c:ser>
          <c:idx val="2"/>
          <c:order val="2"/>
          <c:tx>
            <c:v>Год 3</c:v>
          </c:tx>
          <c:cat>
            <c:strRef>
              <c:f>'Сводка'!$A$17:$A$20</c:f>
              <c:strCache>
                <c:ptCount val="0"/>
              </c:strCache>
            </c:strRef>
          </c:cat>
          <c:val>
            <c:numRef>
              <c:f>'Сводка'!$D$17:$D$20</c:f>
              <c:numCache>
                <c:formatCode>#,##0 "₽";[Red](#,##0 "₽");-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4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Денежные средства на конец месяца</a:t>
            </a:r>
          </a:p>
        </c:rich>
      </c:tx>
    </c:title>
    <c:plotArea>
      <c:lineChart>
        <c:grouping val="standard"/>
        <c:varyColors val="0"/>
        <c:ser>
          <c:idx val="0"/>
          <c:order val="0"/>
          <c:tx>
            <c:v>Series 1</c:v>
          </c:tx>
          <c:marker>
            <c:symbol val="none"/>
          </c:marker>
          <c:cat>
            <c:strRef>
              <c:f>'Денежный поток'!$B$11</c:f>
              <c:strCache>
                <c:ptCount val="0"/>
              </c:strCache>
            </c:strRef>
          </c:cat>
          <c:val>
            <c:numRef>
              <c:f>'Денежный поток'!$C$11</c:f>
              <c:numCache>
                <c:formatCode>#,##0 "₽";[Red](#,##0 "₽");-</c:formatCode>
                <c:ptCount val="0"/>
              </c:numCache>
            </c:numRef>
          </c:val>
        </c:ser>
        <c:ser>
          <c:idx val="1"/>
          <c:order val="1"/>
          <c:tx>
            <c:v>Series 2</c:v>
          </c:tx>
          <c:marker>
            <c:symbol val="none"/>
          </c:marker>
          <c:cat>
            <c:strRef>
              <c:f>'Денежный поток'!$B$11</c:f>
              <c:strCache>
                <c:ptCount val="0"/>
              </c:strCache>
            </c:strRef>
          </c:cat>
          <c:val>
            <c:numRef>
              <c:f>'Денежный поток'!$D$11</c:f>
              <c:numCache>
                <c:formatCode>#,##0 "₽";[Red](#,##0 "₽");-</c:formatCode>
                <c:ptCount val="0"/>
              </c:numCache>
            </c:numRef>
          </c:val>
        </c:ser>
        <c:ser>
          <c:idx val="2"/>
          <c:order val="2"/>
          <c:tx>
            <c:v>Series 3</c:v>
          </c:tx>
          <c:marker>
            <c:symbol val="none"/>
          </c:marker>
          <c:cat>
            <c:strRef>
              <c:f>'Денежный поток'!$B$11</c:f>
              <c:strCache>
                <c:ptCount val="0"/>
              </c:strCache>
            </c:strRef>
          </c:cat>
          <c:val>
            <c:numRef>
              <c:f>'Денежный поток'!$E$11</c:f>
              <c:numCache>
                <c:formatCode>#,##0 "₽";[Red](#,##0 "₽");-</c:formatCode>
                <c:ptCount val="0"/>
              </c:numCache>
            </c:numRef>
          </c:val>
        </c:ser>
        <c:ser>
          <c:idx val="3"/>
          <c:order val="3"/>
          <c:tx>
            <c:v>Series 4</c:v>
          </c:tx>
          <c:marker>
            <c:symbol val="none"/>
          </c:marker>
          <c:cat>
            <c:strRef>
              <c:f>'Денежный поток'!$B$11</c:f>
              <c:strCache>
                <c:ptCount val="0"/>
              </c:strCache>
            </c:strRef>
          </c:cat>
          <c:val>
            <c:numRef>
              <c:f>'Денежный поток'!$F$11</c:f>
              <c:numCache>
                <c:formatCode>#,##0 "₽";[Red](#,##0 "₽");-</c:formatCode>
                <c:ptCount val="0"/>
              </c:numCache>
            </c:numRef>
          </c:val>
        </c:ser>
        <c:ser>
          <c:idx val="4"/>
          <c:order val="4"/>
          <c:tx>
            <c:v>Series 5</c:v>
          </c:tx>
          <c:marker>
            <c:symbol val="none"/>
          </c:marker>
          <c:cat>
            <c:strRef>
              <c:f>'Денежный поток'!$B$11</c:f>
              <c:strCache>
                <c:ptCount val="0"/>
              </c:strCache>
            </c:strRef>
          </c:cat>
          <c:val>
            <c:numRef>
              <c:f>'Денежный поток'!$G$11</c:f>
              <c:numCache>
                <c:formatCode>#,##0 "₽";[Red](#,##0 "₽");-</c:formatCode>
                <c:ptCount val="0"/>
              </c:numCache>
            </c:numRef>
          </c:val>
        </c:ser>
        <c:ser>
          <c:idx val="5"/>
          <c:order val="5"/>
          <c:tx>
            <c:v>Series 6</c:v>
          </c:tx>
          <c:marker>
            <c:symbol val="none"/>
          </c:marker>
          <c:cat>
            <c:strRef>
              <c:f>'Денежный поток'!$B$11</c:f>
              <c:strCache>
                <c:ptCount val="0"/>
              </c:strCache>
            </c:strRef>
          </c:cat>
          <c:val>
            <c:numRef>
              <c:f>'Денежный поток'!$H$11</c:f>
              <c:numCache>
                <c:formatCode>#,##0 "₽";[Red](#,##0 "₽");-</c:formatCode>
                <c:ptCount val="0"/>
              </c:numCache>
            </c:numRef>
          </c:val>
        </c:ser>
        <c:ser>
          <c:idx val="6"/>
          <c:order val="6"/>
          <c:tx>
            <c:v>Series 7</c:v>
          </c:tx>
          <c:marker>
            <c:symbol val="none"/>
          </c:marker>
          <c:cat>
            <c:strRef>
              <c:f>'Денежный поток'!$B$11</c:f>
              <c:strCache>
                <c:ptCount val="0"/>
              </c:strCache>
            </c:strRef>
          </c:cat>
          <c:val>
            <c:numRef>
              <c:f>'Денежный поток'!$I$11</c:f>
              <c:numCache>
                <c:formatCode>#,##0 "₽";[Red](#,##0 "₽");-</c:formatCode>
                <c:ptCount val="0"/>
              </c:numCache>
            </c:numRef>
          </c:val>
        </c:ser>
        <c:ser>
          <c:idx val="7"/>
          <c:order val="7"/>
          <c:tx>
            <c:v>Series 8</c:v>
          </c:tx>
          <c:marker>
            <c:symbol val="none"/>
          </c:marker>
          <c:cat>
            <c:strRef>
              <c:f>'Денежный поток'!$B$11</c:f>
              <c:strCache>
                <c:ptCount val="0"/>
              </c:strCache>
            </c:strRef>
          </c:cat>
          <c:val>
            <c:numRef>
              <c:f>'Денежный поток'!$J$11</c:f>
              <c:numCache>
                <c:formatCode>#,##0 "₽";[Red](#,##0 "₽");-</c:formatCode>
                <c:ptCount val="0"/>
              </c:numCache>
            </c:numRef>
          </c:val>
        </c:ser>
        <c:ser>
          <c:idx val="8"/>
          <c:order val="8"/>
          <c:tx>
            <c:v>Series 9</c:v>
          </c:tx>
          <c:marker>
            <c:symbol val="none"/>
          </c:marker>
          <c:cat>
            <c:strRef>
              <c:f>'Денежный поток'!$B$11</c:f>
              <c:strCache>
                <c:ptCount val="0"/>
              </c:strCache>
            </c:strRef>
          </c:cat>
          <c:val>
            <c:numRef>
              <c:f>'Денежный поток'!$K$11</c:f>
              <c:numCache>
                <c:formatCode>#,##0 "₽";[Red](#,##0 "₽");-</c:formatCode>
                <c:ptCount val="0"/>
              </c:numCache>
            </c:numRef>
          </c:val>
        </c:ser>
        <c:ser>
          <c:idx val="9"/>
          <c:order val="9"/>
          <c:tx>
            <c:v>Series 10</c:v>
          </c:tx>
          <c:marker>
            <c:symbol val="none"/>
          </c:marker>
          <c:cat>
            <c:strRef>
              <c:f>'Денежный поток'!$B$11</c:f>
              <c:strCache>
                <c:ptCount val="0"/>
              </c:strCache>
            </c:strRef>
          </c:cat>
          <c:val>
            <c:numRef>
              <c:f>'Денежный поток'!$L$11</c:f>
              <c:numCache>
                <c:formatCode>#,##0 "₽";[Red](#,##0 "₽");-</c:formatCode>
                <c:ptCount val="0"/>
              </c:numCache>
            </c:numRef>
          </c:val>
        </c:ser>
        <c:ser>
          <c:idx val="10"/>
          <c:order val="10"/>
          <c:tx>
            <c:v>Series 11</c:v>
          </c:tx>
          <c:marker>
            <c:symbol val="none"/>
          </c:marker>
          <c:cat>
            <c:strRef>
              <c:f>'Денежный поток'!$B$11</c:f>
              <c:strCache>
                <c:ptCount val="0"/>
              </c:strCache>
            </c:strRef>
          </c:cat>
          <c:val>
            <c:numRef>
              <c:f>'Денежный поток'!$M$11</c:f>
              <c:numCache>
                <c:formatCode>#,##0 "₽";[Red](#,##0 "₽");-</c:formatCode>
                <c:ptCount val="0"/>
              </c:numCache>
            </c:numRef>
          </c:val>
        </c:ser>
        <c:ser>
          <c:idx val="11"/>
          <c:order val="11"/>
          <c:tx>
            <c:v>Series 12</c:v>
          </c:tx>
          <c:marker>
            <c:symbol val="none"/>
          </c:marker>
          <c:cat>
            <c:strRef>
              <c:f>'Денежный поток'!$B$11</c:f>
              <c:strCache>
                <c:ptCount val="0"/>
              </c:strCache>
            </c:strRef>
          </c:cat>
          <c:val>
            <c:numRef>
              <c:f>'Денежный поток'!$N$11</c:f>
              <c:numCache>
                <c:formatCode>#,##0 "₽";[Red](#,##0 "₽");-</c:formatCode>
                <c:ptCount val="0"/>
              </c:numCache>
            </c:numRef>
          </c:val>
        </c:ser>
        <c:ser>
          <c:idx val="12"/>
          <c:order val="12"/>
          <c:tx>
            <c:v>Series 13</c:v>
          </c:tx>
          <c:marker>
            <c:symbol val="none"/>
          </c:marker>
          <c:cat>
            <c:strRef>
              <c:f>'Денежный поток'!$B$11</c:f>
              <c:strCache>
                <c:ptCount val="0"/>
              </c:strCache>
            </c:strRef>
          </c:cat>
          <c:val>
            <c:numRef>
              <c:f>'Денежный поток'!$O$11</c:f>
              <c:numCache>
                <c:formatCode>#,##0 "₽";[Red](#,##0 "₽");-</c:formatCode>
                <c:ptCount val="0"/>
              </c:numCache>
            </c:numRef>
          </c:val>
        </c:ser>
        <c:ser>
          <c:idx val="13"/>
          <c:order val="13"/>
          <c:tx>
            <c:v>Series 14</c:v>
          </c:tx>
          <c:marker>
            <c:symbol val="none"/>
          </c:marker>
          <c:cat>
            <c:strRef>
              <c:f>'Денежный поток'!$B$11</c:f>
              <c:strCache>
                <c:ptCount val="0"/>
              </c:strCache>
            </c:strRef>
          </c:cat>
          <c:val>
            <c:numRef>
              <c:f>'Денежный поток'!$P$11</c:f>
              <c:numCache>
                <c:formatCode>#,##0 "₽";[Red](#,##0 "₽");-</c:formatCode>
                <c:ptCount val="0"/>
              </c:numCache>
            </c:numRef>
          </c:val>
        </c:ser>
        <c:ser>
          <c:idx val="14"/>
          <c:order val="14"/>
          <c:tx>
            <c:v>Series 15</c:v>
          </c:tx>
          <c:marker>
            <c:symbol val="none"/>
          </c:marker>
          <c:cat>
            <c:strRef>
              <c:f>'Денежный поток'!$B$11</c:f>
              <c:strCache>
                <c:ptCount val="0"/>
              </c:strCache>
            </c:strRef>
          </c:cat>
          <c:val>
            <c:numRef>
              <c:f>'Денежный поток'!$Q$11</c:f>
              <c:numCache>
                <c:formatCode>#,##0 "₽";[Red](#,##0 "₽");-</c:formatCode>
                <c:ptCount val="0"/>
              </c:numCache>
            </c:numRef>
          </c:val>
        </c:ser>
        <c:ser>
          <c:idx val="15"/>
          <c:order val="15"/>
          <c:tx>
            <c:v>Series 16</c:v>
          </c:tx>
          <c:marker>
            <c:symbol val="none"/>
          </c:marker>
          <c:cat>
            <c:strRef>
              <c:f>'Денежный поток'!$B$11</c:f>
              <c:strCache>
                <c:ptCount val="0"/>
              </c:strCache>
            </c:strRef>
          </c:cat>
          <c:val>
            <c:numRef>
              <c:f>'Денежный поток'!$R$11</c:f>
              <c:numCache>
                <c:formatCode>#,##0 "₽";[Red](#,##0 "₽");-</c:formatCode>
                <c:ptCount val="0"/>
              </c:numCache>
            </c:numRef>
          </c:val>
        </c:ser>
        <c:ser>
          <c:idx val="16"/>
          <c:order val="16"/>
          <c:tx>
            <c:v>Series 17</c:v>
          </c:tx>
          <c:marker>
            <c:symbol val="none"/>
          </c:marker>
          <c:cat>
            <c:strRef>
              <c:f>'Денежный поток'!$B$11</c:f>
              <c:strCache>
                <c:ptCount val="0"/>
              </c:strCache>
            </c:strRef>
          </c:cat>
          <c:val>
            <c:numRef>
              <c:f>'Денежный поток'!$S$11</c:f>
              <c:numCache>
                <c:formatCode>#,##0 "₽";[Red](#,##0 "₽");-</c:formatCode>
                <c:ptCount val="0"/>
              </c:numCache>
            </c:numRef>
          </c:val>
        </c:ser>
        <c:ser>
          <c:idx val="17"/>
          <c:order val="17"/>
          <c:tx>
            <c:v>Series 18</c:v>
          </c:tx>
          <c:marker>
            <c:symbol val="none"/>
          </c:marker>
          <c:cat>
            <c:strRef>
              <c:f>'Денежный поток'!$B$11</c:f>
              <c:strCache>
                <c:ptCount val="0"/>
              </c:strCache>
            </c:strRef>
          </c:cat>
          <c:val>
            <c:numRef>
              <c:f>'Денежный поток'!$T$11</c:f>
              <c:numCache>
                <c:formatCode>#,##0 "₽";[Red](#,##0 "₽");-</c:formatCode>
                <c:ptCount val="0"/>
              </c:numCache>
            </c:numRef>
          </c:val>
        </c:ser>
        <c:ser>
          <c:idx val="18"/>
          <c:order val="18"/>
          <c:tx>
            <c:v>Series 19</c:v>
          </c:tx>
          <c:marker>
            <c:symbol val="none"/>
          </c:marker>
          <c:cat>
            <c:strRef>
              <c:f>'Денежный поток'!$B$11</c:f>
              <c:strCache>
                <c:ptCount val="0"/>
              </c:strCache>
            </c:strRef>
          </c:cat>
          <c:val>
            <c:numRef>
              <c:f>'Денежный поток'!$U$11</c:f>
              <c:numCache>
                <c:formatCode>#,##0 "₽";[Red](#,##0 "₽");-</c:formatCode>
                <c:ptCount val="0"/>
              </c:numCache>
            </c:numRef>
          </c:val>
        </c:ser>
        <c:ser>
          <c:idx val="19"/>
          <c:order val="19"/>
          <c:tx>
            <c:v>Series 20</c:v>
          </c:tx>
          <c:marker>
            <c:symbol val="none"/>
          </c:marker>
          <c:cat>
            <c:strRef>
              <c:f>'Денежный поток'!$B$11</c:f>
              <c:strCache>
                <c:ptCount val="0"/>
              </c:strCache>
            </c:strRef>
          </c:cat>
          <c:val>
            <c:numRef>
              <c:f>'Денежный поток'!$V$11</c:f>
              <c:numCache>
                <c:formatCode>#,##0 "₽";[Red](#,##0 "₽");-</c:formatCode>
                <c:ptCount val="0"/>
              </c:numCache>
            </c:numRef>
          </c:val>
        </c:ser>
        <c:ser>
          <c:idx val="20"/>
          <c:order val="20"/>
          <c:tx>
            <c:v>Series 21</c:v>
          </c:tx>
          <c:marker>
            <c:symbol val="none"/>
          </c:marker>
          <c:cat>
            <c:strRef>
              <c:f>'Денежный поток'!$B$11</c:f>
              <c:strCache>
                <c:ptCount val="0"/>
              </c:strCache>
            </c:strRef>
          </c:cat>
          <c:val>
            <c:numRef>
              <c:f>'Денежный поток'!$W$11</c:f>
              <c:numCache>
                <c:formatCode>#,##0 "₽";[Red](#,##0 "₽");-</c:formatCode>
                <c:ptCount val="0"/>
              </c:numCache>
            </c:numRef>
          </c:val>
        </c:ser>
        <c:ser>
          <c:idx val="21"/>
          <c:order val="21"/>
          <c:tx>
            <c:v>Series 22</c:v>
          </c:tx>
          <c:marker>
            <c:symbol val="none"/>
          </c:marker>
          <c:cat>
            <c:strRef>
              <c:f>'Денежный поток'!$B$11</c:f>
              <c:strCache>
                <c:ptCount val="0"/>
              </c:strCache>
            </c:strRef>
          </c:cat>
          <c:val>
            <c:numRef>
              <c:f>'Денежный поток'!$X$11</c:f>
              <c:numCache>
                <c:formatCode>#,##0 "₽";[Red](#,##0 "₽");-</c:formatCode>
                <c:ptCount val="0"/>
              </c:numCache>
            </c:numRef>
          </c:val>
        </c:ser>
        <c:ser>
          <c:idx val="22"/>
          <c:order val="22"/>
          <c:tx>
            <c:v>Series 23</c:v>
          </c:tx>
          <c:marker>
            <c:symbol val="none"/>
          </c:marker>
          <c:cat>
            <c:strRef>
              <c:f>'Денежный поток'!$B$11</c:f>
              <c:strCache>
                <c:ptCount val="0"/>
              </c:strCache>
            </c:strRef>
          </c:cat>
          <c:val>
            <c:numRef>
              <c:f>'Денежный поток'!$Y$11</c:f>
              <c:numCache>
                <c:formatCode>#,##0 "₽";[Red](#,##0 "₽");-</c:formatCode>
                <c:ptCount val="0"/>
              </c:numCache>
            </c:numRef>
          </c:val>
        </c:ser>
        <c:ser>
          <c:idx val="23"/>
          <c:order val="23"/>
          <c:tx>
            <c:v>Series 24</c:v>
          </c:tx>
          <c:marker>
            <c:symbol val="none"/>
          </c:marker>
          <c:cat>
            <c:strRef>
              <c:f>'Денежный поток'!$B$11</c:f>
              <c:strCache>
                <c:ptCount val="0"/>
              </c:strCache>
            </c:strRef>
          </c:cat>
          <c:val>
            <c:numRef>
              <c:f>'Денежный поток'!$Z$11</c:f>
              <c:numCache>
                <c:formatCode>#,##0 "₽";[Red](#,##0 "₽");-</c:formatCode>
                <c:ptCount val="0"/>
              </c:numCache>
            </c:numRef>
          </c:val>
        </c:ser>
        <c:ser>
          <c:idx val="24"/>
          <c:order val="24"/>
          <c:tx>
            <c:v>Series 25</c:v>
          </c:tx>
          <c:marker>
            <c:symbol val="none"/>
          </c:marker>
          <c:cat>
            <c:strRef>
              <c:f>'Денежный поток'!$B$11</c:f>
              <c:strCache>
                <c:ptCount val="0"/>
              </c:strCache>
            </c:strRef>
          </c:cat>
          <c:val>
            <c:numRef>
              <c:f>'Денежный поток'!$AA$11</c:f>
              <c:numCache>
                <c:formatCode>#,##0 "₽";[Red](#,##0 "₽");-</c:formatCode>
                <c:ptCount val="0"/>
              </c:numCache>
            </c:numRef>
          </c:val>
        </c:ser>
        <c:ser>
          <c:idx val="25"/>
          <c:order val="25"/>
          <c:tx>
            <c:v>Series 26</c:v>
          </c:tx>
          <c:marker>
            <c:symbol val="none"/>
          </c:marker>
          <c:cat>
            <c:strRef>
              <c:f>'Денежный поток'!$B$11</c:f>
              <c:strCache>
                <c:ptCount val="0"/>
              </c:strCache>
            </c:strRef>
          </c:cat>
          <c:val>
            <c:numRef>
              <c:f>'Денежный поток'!$AB$11</c:f>
              <c:numCache>
                <c:formatCode>#,##0 "₽";[Red](#,##0 "₽");-</c:formatCode>
                <c:ptCount val="0"/>
              </c:numCache>
            </c:numRef>
          </c:val>
        </c:ser>
        <c:ser>
          <c:idx val="26"/>
          <c:order val="26"/>
          <c:tx>
            <c:v>Series 27</c:v>
          </c:tx>
          <c:marker>
            <c:symbol val="none"/>
          </c:marker>
          <c:cat>
            <c:strRef>
              <c:f>'Денежный поток'!$B$11</c:f>
              <c:strCache>
                <c:ptCount val="0"/>
              </c:strCache>
            </c:strRef>
          </c:cat>
          <c:val>
            <c:numRef>
              <c:f>'Денежный поток'!$AC$11</c:f>
              <c:numCache>
                <c:formatCode>#,##0 "₽";[Red](#,##0 "₽");-</c:formatCode>
                <c:ptCount val="0"/>
              </c:numCache>
            </c:numRef>
          </c:val>
        </c:ser>
        <c:ser>
          <c:idx val="27"/>
          <c:order val="27"/>
          <c:tx>
            <c:v>Series 28</c:v>
          </c:tx>
          <c:marker>
            <c:symbol val="none"/>
          </c:marker>
          <c:cat>
            <c:strRef>
              <c:f>'Денежный поток'!$B$11</c:f>
              <c:strCache>
                <c:ptCount val="0"/>
              </c:strCache>
            </c:strRef>
          </c:cat>
          <c:val>
            <c:numRef>
              <c:f>'Денежный поток'!$AD$11</c:f>
              <c:numCache>
                <c:formatCode>#,##0 "₽";[Red](#,##0 "₽");-</c:formatCode>
                <c:ptCount val="0"/>
              </c:numCache>
            </c:numRef>
          </c:val>
        </c:ser>
        <c:ser>
          <c:idx val="28"/>
          <c:order val="28"/>
          <c:tx>
            <c:v>Series 29</c:v>
          </c:tx>
          <c:marker>
            <c:symbol val="none"/>
          </c:marker>
          <c:cat>
            <c:strRef>
              <c:f>'Денежный поток'!$B$11</c:f>
              <c:strCache>
                <c:ptCount val="0"/>
              </c:strCache>
            </c:strRef>
          </c:cat>
          <c:val>
            <c:numRef>
              <c:f>'Денежный поток'!$AE$11</c:f>
              <c:numCache>
                <c:formatCode>#,##0 "₽";[Red](#,##0 "₽");-</c:formatCode>
                <c:ptCount val="0"/>
              </c:numCache>
            </c:numRef>
          </c:val>
        </c:ser>
        <c:ser>
          <c:idx val="29"/>
          <c:order val="29"/>
          <c:tx>
            <c:v>Series 30</c:v>
          </c:tx>
          <c:marker>
            <c:symbol val="none"/>
          </c:marker>
          <c:cat>
            <c:strRef>
              <c:f>'Денежный поток'!$B$11</c:f>
              <c:strCache>
                <c:ptCount val="0"/>
              </c:strCache>
            </c:strRef>
          </c:cat>
          <c:val>
            <c:numRef>
              <c:f>'Денежный поток'!$AF$11</c:f>
              <c:numCache>
                <c:formatCode>#,##0 "₽";[Red](#,##0 "₽");-</c:formatCode>
                <c:ptCount val="0"/>
              </c:numCache>
            </c:numRef>
          </c:val>
        </c:ser>
        <c:ser>
          <c:idx val="30"/>
          <c:order val="30"/>
          <c:tx>
            <c:v>Series 31</c:v>
          </c:tx>
          <c:marker>
            <c:symbol val="none"/>
          </c:marker>
          <c:cat>
            <c:strRef>
              <c:f>'Денежный поток'!$B$11</c:f>
              <c:strCache>
                <c:ptCount val="0"/>
              </c:strCache>
            </c:strRef>
          </c:cat>
          <c:val>
            <c:numRef>
              <c:f>'Денежный поток'!$AG$11</c:f>
              <c:numCache>
                <c:formatCode>#,##0 "₽";[Red](#,##0 "₽");-</c:formatCode>
                <c:ptCount val="0"/>
              </c:numCache>
            </c:numRef>
          </c:val>
        </c:ser>
        <c:ser>
          <c:idx val="31"/>
          <c:order val="31"/>
          <c:tx>
            <c:v>Series 32</c:v>
          </c:tx>
          <c:marker>
            <c:symbol val="none"/>
          </c:marker>
          <c:cat>
            <c:strRef>
              <c:f>'Денежный поток'!$B$11</c:f>
              <c:strCache>
                <c:ptCount val="0"/>
              </c:strCache>
            </c:strRef>
          </c:cat>
          <c:val>
            <c:numRef>
              <c:f>'Денежный поток'!$AH$11</c:f>
              <c:numCache>
                <c:formatCode>#,##0 "₽";[Red](#,##0 "₽");-</c:formatCode>
                <c:ptCount val="0"/>
              </c:numCache>
            </c:numRef>
          </c:val>
        </c:ser>
        <c:ser>
          <c:idx val="32"/>
          <c:order val="32"/>
          <c:tx>
            <c:v>Series 33</c:v>
          </c:tx>
          <c:marker>
            <c:symbol val="none"/>
          </c:marker>
          <c:cat>
            <c:strRef>
              <c:f>'Денежный поток'!$B$11</c:f>
              <c:strCache>
                <c:ptCount val="0"/>
              </c:strCache>
            </c:strRef>
          </c:cat>
          <c:val>
            <c:numRef>
              <c:f>'Денежный поток'!$AI$11</c:f>
              <c:numCache>
                <c:formatCode>#,##0 "₽";[Red](#,##0 "₽");-</c:formatCode>
                <c:ptCount val="0"/>
              </c:numCache>
            </c:numRef>
          </c:val>
        </c:ser>
        <c:ser>
          <c:idx val="33"/>
          <c:order val="33"/>
          <c:tx>
            <c:v>Series 34</c:v>
          </c:tx>
          <c:marker>
            <c:symbol val="none"/>
          </c:marker>
          <c:cat>
            <c:strRef>
              <c:f>'Денежный поток'!$B$11</c:f>
              <c:strCache>
                <c:ptCount val="0"/>
              </c:strCache>
            </c:strRef>
          </c:cat>
          <c:val>
            <c:numRef>
              <c:f>'Денежный поток'!$AJ$11</c:f>
              <c:numCache>
                <c:formatCode>#,##0 "₽";[Red](#,##0 "₽");-</c:formatCode>
                <c:ptCount val="0"/>
              </c:numCache>
            </c:numRef>
          </c:val>
        </c:ser>
        <c:ser>
          <c:idx val="34"/>
          <c:order val="34"/>
          <c:tx>
            <c:v>Series 35</c:v>
          </c:tx>
          <c:marker>
            <c:symbol val="none"/>
          </c:marker>
          <c:cat>
            <c:strRef>
              <c:f>'Денежный поток'!$B$11</c:f>
              <c:strCache>
                <c:ptCount val="0"/>
              </c:strCache>
            </c:strRef>
          </c:cat>
          <c:val>
            <c:numRef>
              <c:f>'Денежный поток'!$AK$11</c:f>
              <c:numCache>
                <c:formatCode>#,##0 "₽";[Red](#,##0 "₽");-</c:formatCode>
                <c:ptCount val="0"/>
              </c:numCache>
            </c:numRef>
          </c:val>
        </c:ser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5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Сценарная стоимость QORSYS на 36 месяц</a:t>
            </a:r>
          </a:p>
        </c:rich>
      </c:tx>
    </c:title>
    <c:plotArea>
      <c:barChart>
        <c:barDir val="col"/>
        <c:grouping val="clustered"/>
        <c:varyColors val="0"/>
        <c:ser>
          <c:idx val="0"/>
          <c:order val="0"/>
          <c:tx>
            <c:v>Активные клиенты, 36 месяц</c:v>
          </c:tx>
          <c:cat>
            <c:strRef>
              <c:f>'Оценка и инвестор'!$A$16:$A$18</c:f>
              <c:strCache>
                <c:ptCount val="0"/>
              </c:strCache>
            </c:strRef>
          </c:cat>
          <c:val>
            <c:numRef>
              <c:f>'Оценка и инвестор'!$B$16:$B$18</c:f>
              <c:numCache>
                <c:formatCode>#,##0.0;[Red](#,##0.0);-</c:formatCode>
                <c:ptCount val="0"/>
              </c:numCache>
            </c:numRef>
          </c:val>
        </c:ser>
        <c:ser>
          <c:idx val="1"/>
          <c:order val="1"/>
          <c:tx>
            <c:v>Годовая повторяющаяся выручка, 36 месяц, ₽</c:v>
          </c:tx>
          <c:cat>
            <c:strRef>
              <c:f>'Оценка и инвестор'!$A$16:$A$18</c:f>
              <c:strCache>
                <c:ptCount val="0"/>
              </c:strCache>
            </c:strRef>
          </c:cat>
          <c:val>
            <c:numRef>
              <c:f>'Оценка и инвестор'!$C$16:$C$18</c:f>
              <c:numCache>
                <c:formatCode>#,##0 "₽";[Red](#,##0 "₽");-</c:formatCode>
                <c:ptCount val="0"/>
              </c:numCache>
            </c:numRef>
          </c:val>
        </c:ser>
        <c:ser>
          <c:idx val="2"/>
          <c:order val="2"/>
          <c:tx>
            <c:v>Мультипликатор</c:v>
          </c:tx>
          <c:cat>
            <c:strRef>
              <c:f>'Оценка и инвестор'!$A$16:$A$18</c:f>
              <c:strCache>
                <c:ptCount val="0"/>
              </c:strCache>
            </c:strRef>
          </c:cat>
          <c:val>
            <c:numRef>
              <c:f>'Оценка и инвестор'!$D$16:$D$18</c:f>
              <c:numCache>
                <c:formatCode>0.0x;[Red](0.0x);-</c:formatCode>
                <c:ptCount val="0"/>
              </c:numCache>
            </c:numRef>
          </c:val>
        </c:ser>
        <c:ser>
          <c:idx val="3"/>
          <c:order val="3"/>
          <c:tx>
            <c:v>Оценка компании на 36 месяц, ₽</c:v>
          </c:tx>
          <c:cat>
            <c:strRef>
              <c:f>'Оценка и инвестор'!$A$16:$A$18</c:f>
              <c:strCache>
                <c:ptCount val="0"/>
              </c:strCache>
            </c:strRef>
          </c:cat>
          <c:val>
            <c:numRef>
              <c:f>'Оценка и инвестор'!$E$16:$E$18</c:f>
              <c:numCache>
                <c:formatCode>#,##0 "₽";[Red](#,##0 "₽");-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0</xdr:col>
      <xdr:colOff>0</xdr:colOff>
      <xdr:row>30</xdr:row>
      <xdr:rowOff>0</xdr:rowOff>
    </xdr:from>
    <xdr:to>
      <xdr:col>6</xdr:col>
      <xdr:colOff>0</xdr:colOff>
      <xdr:row>46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e4cf004f653846c2"/>
        </a:graphicData>
      </a:graphic>
    </xdr:graphicFrame>
    <xdr:clientData/>
  </xdr:twoCellAnchor>
  <xdr:twoCellAnchor>
    <xdr:from>
      <xdr:col>6</xdr:col>
      <xdr:colOff>0</xdr:colOff>
      <xdr:row>30</xdr:row>
      <xdr:rowOff>0</xdr:rowOff>
    </xdr:from>
    <xdr:to>
      <xdr:col>13</xdr:col>
      <xdr:colOff>0</xdr:colOff>
      <xdr:row>46</xdr:row>
      <xdr:rowOff>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0fac06dc0660443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>
  <xdr:twoCellAnchor>
    <xdr:from>
      <xdr:col>6</xdr:col>
      <xdr:colOff>0</xdr:colOff>
      <xdr:row>15</xdr:row>
      <xdr:rowOff>0</xdr:rowOff>
    </xdr:from>
    <xdr:to>
      <xdr:col>14</xdr:col>
      <xdr:colOff>0</xdr:colOff>
      <xdr:row>31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465044bda9474bc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>
  <xdr:twoCellAnchor>
    <xdr:from>
      <xdr:col>38</xdr:col>
      <xdr:colOff>0</xdr:colOff>
      <xdr:row>2</xdr:row>
      <xdr:rowOff>0</xdr:rowOff>
    </xdr:from>
    <xdr:to>
      <xdr:col>46</xdr:col>
      <xdr:colOff>0</xdr:colOff>
      <xdr:row>18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1d6a900619964f1e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>
  <xdr:twoCellAnchor>
    <xdr:from>
      <xdr:col>7</xdr:col>
      <xdr:colOff>0</xdr:colOff>
      <xdr:row>46</xdr:row>
      <xdr:rowOff>0</xdr:rowOff>
    </xdr:from>
    <xdr:to>
      <xdr:col>14</xdr:col>
      <xdr:colOff>0</xdr:colOff>
      <xdr:row>60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9201d9171153405d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31a1da01f1b341ef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/xl/drawings/drawing2.xml" Id="R8509153ad6e942e8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drawing" Target="/xl/drawings/drawing3.xml" Id="Rc492c39355d348b5" /></Relationships>
</file>

<file path=xl/worksheets/_rels/sheet12.xml.rels>&#65279;<?xml version="1.0" encoding="utf-8"?><Relationships xmlns="http://schemas.openxmlformats.org/package/2006/relationships"><Relationship Type="http://schemas.openxmlformats.org/officeDocument/2006/relationships/drawing" Target="/xl/drawings/drawing4.xml" Id="Ra087f2f719e040b4" /></Relationships>
</file>

<file path=xl/worksheets/sheet1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20" hidden="0" customWidth="1"/>
    <x:col min="4" max="4" width="38" hidden="0" customWidth="1"/>
    <x:col min="5" max="5" width="22" hidden="0" customWidth="1"/>
    <x:col min="7" max="7" width="38" hidden="0" customWidth="1"/>
    <x:col min="8" max="8" width="20" hidden="0" customWidth="1"/>
    <x:col min="9" max="9" width="14" hidden="0" customWidth="1"/>
    <x:col min="10" max="10" width="38" hidden="0" customWidth="1"/>
    <x:col min="3" max="3" width="18" hidden="0" customWidth="1"/>
    <x:col min="6" max="6" width="20" hidden="0" customWidth="1"/>
    <x:col min="11" max="11" width="22" hidden="0" customWidth="1"/>
    <x:col min="12" max="12" width="20" hidden="0" customWidth="1"/>
    <x:col min="13" max="13" width="20" hidden="0" customWidth="1"/>
  </x:cols>
  <x:sheetData>
    <x:row r="1" ht="30" customHeight="1">
      <x:c r="A1" s="238" t="str">
        <x:v>QORSYS — финансовая модель инвестора v1.0</x:v>
      </x:c>
      <x:c r="B1" s="238"/>
      <x:c r="C1" s="238"/>
      <x:c r="D1" s="238"/>
      <x:c r="E1" s="238"/>
      <x:c r="F1" s="238"/>
      <x:c r="G1" s="238"/>
      <x:c r="H1" s="238"/>
      <x:c r="I1" s="238"/>
      <x:c r="J1" s="238"/>
      <x:c r="K1" s="238"/>
      <x:c r="L1" s="238"/>
      <x:c r="M1" s="238"/>
      <x:c r="N1" s="41"/>
      <x:c r="O1" s="41"/>
      <x:c r="P1" s="41"/>
      <x:c r="Q1" s="41"/>
      <x:c r="R1" s="41"/>
      <x:c r="S1" s="41"/>
      <x:c r="T1" s="41"/>
      <x:c r="U1" s="41"/>
      <x:c r="V1" s="41"/>
      <x:c r="W1" s="41"/>
      <x:c r="X1" s="41" t="str">
        <x:v>Сценарий</x:v>
      </x:c>
      <x:c r="Y1" s="41" t="str">
        <x:v>Стоимость M36, ₽</x:v>
      </x:c>
      <x:c r="Z1" s="41"/>
      <x:c r="AA1" s="41" t="str">
        <x:v>Сценарий</x:v>
      </x:c>
      <x:c r="AB1" s="41" t="str">
        <x:v>Минимальный cash, ₽</x:v>
      </x:c>
      <x:c r="AC1" s="41"/>
      <x:c r="AD1" s="41"/>
      <x:c r="AE1" s="41"/>
      <x:c r="AF1" s="41"/>
      <x:c r="AG1" s="41"/>
      <x:c r="AH1" s="41"/>
      <x:c r="AI1" s="41"/>
      <x:c r="AJ1" s="41"/>
      <x:c r="AK1" s="41"/>
    </x:row>
    <x:row r="2" ht="22" customHeight="1">
      <x:c r="A2" s="239" t="str">
        <x:v>36 месяцев · раунд 15 млн ₽ за 10% · драйверная модель · сценарий выбирается ниже</x:v>
      </x:c>
      <x:c r="B2" s="239"/>
      <x:c r="C2" s="239"/>
      <x:c r="D2" s="239"/>
      <x:c r="E2" s="239"/>
      <x:c r="F2" s="239"/>
      <x:c r="G2" s="239"/>
      <x:c r="H2" s="239"/>
      <x:c r="I2" s="239"/>
      <x:c r="J2" s="239"/>
      <x:c r="K2" s="239"/>
      <x:c r="L2" s="239"/>
      <x:c r="M2" s="239"/>
      <x:c r="X2" t="str">
        <x:v>Консервативный</x:v>
      </x:c>
      <x:c r="Y2" t="n">
        <x:f>'Оценка и инвестор'!E16</x:f>
        <x:v>201612437.28296423</x:v>
      </x:c>
      <x:c r="AA2" t="str">
        <x:v>Базовый</x:v>
      </x:c>
      <x:c r="AB2" t="n">
        <x:f>'Стресс-тест'!N5</x:f>
        <x:v>8255712.529204001</x:v>
      </x:c>
    </x:row>
    <x:row r="3" ht="26" customHeight="1">
      <x:c r="A3" s="12"/>
      <x:c r="B3" s="12"/>
      <x:c r="C3" s="32"/>
      <x:c r="D3" s="12"/>
      <x:c r="E3" s="12"/>
      <x:c r="F3" s="12"/>
      <x:c r="G3" s="12"/>
      <x:c r="H3" s="12"/>
      <x:c r="I3" s="10"/>
      <x:c r="J3" s="10"/>
      <x:c r="K3" s="10"/>
      <x:c r="L3" s="10"/>
      <x:c r="M3" s="10"/>
      <x:c r="X3" t="str">
        <x:v>Базовый</x:v>
      </x:c>
      <x:c r="Y3" t="n">
        <x:f>'Оценка и инвестор'!E17</x:f>
        <x:v>806030934.0971963</x:v>
      </x:c>
      <x:c r="AA3" t="str">
        <x:v>Мягкий</x:v>
      </x:c>
      <x:c r="AB3" t="n">
        <x:f>'Стресс-тест'!N6</x:f>
        <x:v>-13723729.023769468</x:v>
      </x:c>
    </x:row>
    <x:row r="4" ht="26" customHeight="1">
      <x:c r="A4" s="186" t="str">
        <x:v>Управление моделью</x:v>
      </x:c>
      <x:c r="B4" s="186"/>
      <x:c r="C4" s="186"/>
      <x:c r="D4" s="196" t="str">
        <x:v>Коммерческий сценарий</x:v>
      </x:c>
      <x:c r="E4" s="196"/>
      <x:c r="F4" s="186"/>
      <x:c r="G4" s="186" t="str">
        <x:v>Юнит-экономика</x:v>
      </x:c>
      <x:c r="H4" s="186"/>
      <x:c r="I4" s="186"/>
      <x:c r="J4" s="186" t="str">
        <x:v>Оценка и экономика инвестора</x:v>
      </x:c>
      <x:c r="K4" s="186"/>
      <x:c r="L4" s="186"/>
      <x:c r="M4" s="186"/>
      <x:c r="X4" t="str">
        <x:v>Целевой</x:v>
      </x:c>
      <x:c r="Y4" t="n">
        <x:f>'Оценка и инвестор'!E18</x:f>
        <x:v>1860675135.8259277</x:v>
      </x:c>
      <x:c r="AA4" t="str">
        <x:v>Сильный</x:v>
      </x:c>
      <x:c r="AB4" t="n">
        <x:f>'Стресс-тест'!N7</x:f>
        <x:v>-64386773.53440799</x:v>
      </x:c>
    </x:row>
    <x:row r="5" ht="26" customHeight="1">
      <x:c r="A5" s="32" t="str">
        <x:v>Сценарий</x:v>
      </x:c>
      <x:c r="B5" s="240" t="str">
        <x:v>Базовый</x:v>
      </x:c>
      <x:c r="C5" s="32"/>
      <x:c r="D5" s="186" t="str">
        <x:v>Показатель</x:v>
      </x:c>
      <x:c r="E5" s="186" t="str">
        <x:v>Значение</x:v>
      </x:c>
      <x:c r="F5" s="32"/>
      <x:c r="G5" s="186" t="str">
        <x:v>Показатель</x:v>
      </x:c>
      <x:c r="H5" s="199" t="str">
        <x:v>Значение</x:v>
      </x:c>
      <x:c r="I5" s="241"/>
      <x:c r="J5" s="206" t="str">
        <x:v>Показатель</x:v>
      </x:c>
      <x:c r="K5" s="206" t="str">
        <x:v>Значение</x:v>
      </x:c>
      <x:c r="L5" s="242"/>
      <x:c r="M5" s="144"/>
      <x:c r="AA5" t="str">
        <x:v>Экстремальный</x:v>
      </x:c>
      <x:c r="AB5" t="n">
        <x:f>'Стресс-тест'!N8</x:f>
        <x:v>-124383169.96426122</x:v>
      </x:c>
    </x:row>
    <x:row r="6">
      <x:c r="A6" s="32" t="str">
        <x:v>Инвестиция, ₽</x:v>
      </x:c>
      <x:c r="B6" s="243" t="n">
        <x:v>15000000</x:v>
      </x:c>
      <x:c r="C6" s="32"/>
      <x:c r="D6" s="32" t="str">
        <x:v>Клиенты Ядра QORSYS на 6 месяц</x:v>
      </x:c>
      <x:c r="E6" s="244" t="n">
        <x:f>'Модель 36м'!G10</x:f>
        <x:v>6.922251168800001</x:v>
      </x:c>
      <x:c r="F6" s="32"/>
      <x:c r="G6" s="32" t="str">
        <x:v>Полная стоимость привлечения (CAC), ₽</x:v>
      </x:c>
      <x:c r="H6" s="242" t="n">
        <x:f>'Юнит-экономика'!H5</x:f>
        <x:v>690148.3636363634</x:v>
      </x:c>
      <x:c r="I6" s="241"/>
      <x:c r="J6" s="245" t="str">
        <x:v>Оценка до инвестиций, ₽</x:v>
      </x:c>
      <x:c r="K6" s="242" t="n">
        <x:f>'Оценка и инвестор'!I7</x:f>
        <x:v>135000000</x:v>
      </x:c>
      <x:c r="L6" s="242"/>
      <x:c r="M6" s="144"/>
    </x:row>
    <x:row r="7">
      <x:c r="A7" s="32" t="str">
        <x:v>Доля инвестора</x:v>
      </x:c>
      <x:c r="B7" s="246" t="n">
        <x:v>0.1</x:v>
      </x:c>
      <x:c r="C7" s="32"/>
      <x:c r="D7" s="32" t="str">
        <x:v>ARR на 6 месяц, ₽</x:v>
      </x:c>
      <x:c r="E7" s="242" t="n">
        <x:f>'Модель 36м'!G13</x:f>
        <x:v>20766753.506400004</x:v>
      </x:c>
      <x:c r="F7" s="32"/>
      <x:c r="G7" s="32" t="str">
        <x:v>Валовая маржа Ядра QORSYS</x:v>
      </x:c>
      <x:c r="H7" s="247" t="n">
        <x:f>'Юнит-экономика'!H6</x:f>
        <x:v>0.82</x:v>
      </x:c>
      <x:c r="I7" s="241"/>
      <x:c r="J7" s="245" t="str">
        <x:v>Взвешенная модельная стоимость сегодня, ₽</x:v>
      </x:c>
      <x:c r="K7" s="242" t="n">
        <x:f>'Оценка и инвестор'!E27</x:f>
        <x:v>172089647.78832656</x:v>
      </x:c>
      <x:c r="L7" s="242"/>
      <x:c r="M7" s="144"/>
    </x:row>
    <x:row r="8">
      <x:c r="A8" s="32" t="str">
        <x:v>Оценка до инвестиций, ₽</x:v>
      </x:c>
      <x:c r="B8" s="243" t="n">
        <x:v>135000000</x:v>
      </x:c>
      <x:c r="C8" s="32"/>
      <x:c r="D8" s="32" t="str">
        <x:v>Клиенты Ядра QORSYS на 12 месяц</x:v>
      </x:c>
      <x:c r="E8" s="242" t="n">
        <x:f>'Модель 36м'!M10</x:f>
        <x:v>18.973093574417074</x:v>
      </x:c>
      <x:c r="F8" s="32"/>
      <x:c r="G8" s="32" t="str">
        <x:v>Окупаемость CAC лицензией, мес.</x:v>
      </x:c>
      <x:c r="H8" s="248" t="n">
        <x:f>'Юнит-экономика'!H8</x:f>
        <x:v>3.3665773835920167</x:v>
      </x:c>
      <x:c r="I8" s="32"/>
      <x:c r="J8" s="32" t="str">
        <x:v>Доля после двух будущих раундов</x:v>
      </x:c>
      <x:c r="K8" s="247" t="n">
        <x:f>'Оценка и инвестор'!J27</x:f>
        <x:v>0.0655278</x:v>
      </x:c>
      <x:c r="L8" s="242"/>
      <x:c r="M8" s="144"/>
    </x:row>
    <x:row r="9">
      <x:c r="A9" s="32" t="str">
        <x:v>Оценка после инвестиций, ₽</x:v>
      </x:c>
      <x:c r="B9" s="243" t="n">
        <x:v>150000000</x:v>
      </x:c>
      <x:c r="C9" s="32"/>
      <x:c r="D9" s="32" t="str">
        <x:v>ARR на 12 месяц, ₽</x:v>
      </x:c>
      <x:c r="E9" s="242" t="n">
        <x:f>'Модель 36м'!M13</x:f>
        <x:v>56919280.72325122</x:v>
      </x:c>
      <x:c r="F9" s="32"/>
      <x:c r="G9" s="32" t="str">
        <x:v>Покрытие CAC первой оптимизацией</x:v>
      </x:c>
      <x:c r="H9" s="234" t="n">
        <x:f>'Юнит-экономика'!H9</x:f>
        <x:v>1.666308377434523</x:v>
      </x:c>
      <x:c r="I9" s="32"/>
      <x:c r="J9" s="32" t="str">
        <x:v>Стоимость доли, базовый M36, ₽</x:v>
      </x:c>
      <x:c r="K9" s="242" t="n">
        <x:f>'Оценка и инвестор'!L27</x:f>
        <x:v>52817433.84333426</x:v>
      </x:c>
      <x:c r="L9" s="32"/>
      <x:c r="M9" s="32"/>
    </x:row>
    <x:row r="10" ht="26" customHeight="1">
      <x:c r="A10" s="32" t="str">
        <x:v>Горизонт модели, мес.</x:v>
      </x:c>
      <x:c r="B10" s="249" t="n">
        <x:v>36</x:v>
      </x:c>
      <x:c r="C10" s="32"/>
      <x:c r="D10" s="32" t="str">
        <x:v>Выручка за год 1, ₽</x:v>
      </x:c>
      <x:c r="E10" s="242" t="n">
        <x:f>'Сводка'!B17</x:f>
        <x:v>66665934.03317751</x:v>
      </x:c>
      <x:c r="F10" s="32"/>
      <x:c r="G10" s="10" t="str">
        <x:v>24-месячный вклад / CAC</x:v>
      </x:c>
      <x:c r="H10" s="202" t="n">
        <x:f>'Юнит-экономика'!H10</x:f>
        <x:v>8.032473023978534</x:v>
      </x:c>
      <x:c r="I10" s="10"/>
      <x:c r="J10" s="10" t="str">
        <x:v>Мультипликатор инвестора, базовый M36</x:v>
      </x:c>
      <x:c r="K10" s="234" t="n">
        <x:f>'Оценка и инвестор'!L33</x:f>
        <x:v>3.5211622562222837</x:v>
      </x:c>
      <x:c r="L10" s="32"/>
      <x:c r="M10" s="32"/>
    </x:row>
    <x:row r="11" ht="26" customHeight="1">
      <x:c r="A11" s="32"/>
      <x:c r="B11" s="32"/>
      <x:c r="C11" s="32"/>
      <x:c r="D11" s="32" t="str">
        <x:v>EBITDA за год 1, ₽</x:v>
      </x:c>
      <x:c r="E11" s="242" t="n">
        <x:f>'Сводка'!B20</x:f>
        <x:v>-10555497.69279445</x:v>
      </x:c>
      <x:c r="F11" s="32"/>
      <x:c r="G11" s="10"/>
      <x:c r="H11" s="10"/>
      <x:c r="I11" s="32"/>
      <x:c r="J11" s="32" t="str">
        <x:v>Стоимость QORSYS, базовый M36, ₽</x:v>
      </x:c>
      <x:c r="K11" s="242" t="n">
        <x:f>'Оценка и инвестор'!E17</x:f>
        <x:v>806030934.0971963</x:v>
      </x:c>
      <x:c r="L11" s="32"/>
      <x:c r="M11" s="32"/>
    </x:row>
    <x:row r="12">
      <x:c r="A12" s="32"/>
      <x:c r="B12" s="32"/>
      <x:c r="C12" s="32"/>
      <x:c r="D12" s="32"/>
      <x:c r="E12" s="32"/>
      <x:c r="F12" s="32"/>
      <x:c r="G12" s="32"/>
      <x:c r="H12" s="242"/>
      <x:c r="I12" s="32"/>
      <x:c r="J12" s="32"/>
      <x:c r="K12" s="32"/>
      <x:c r="L12" s="32"/>
      <x:c r="M12" s="32"/>
    </x:row>
    <x:row r="13" ht="26" customHeight="1">
      <x:c r="A13" s="32"/>
      <x:c r="B13" s="32"/>
      <x:c r="C13" s="32"/>
      <x:c r="D13" s="10"/>
      <x:c r="E13" s="10"/>
      <x:c r="F13" s="32"/>
      <x:c r="G13" s="32"/>
      <x:c r="H13" s="247"/>
      <x:c r="I13" s="32"/>
      <x:c r="J13" s="32"/>
      <x:c r="K13" s="32"/>
      <x:c r="L13" s="32"/>
      <x:c r="M13" s="32"/>
    </x:row>
    <x:row r="14" ht="26" customHeight="1">
      <x:c r="A14" s="186" t="str">
        <x:v>Три сценария роста</x:v>
      </x:c>
      <x:c r="B14" s="186"/>
      <x:c r="C14" s="186"/>
      <x:c r="D14" s="186"/>
      <x:c r="E14" s="186"/>
      <x:c r="F14" s="186"/>
      <x:c r="G14" s="186" t="str">
        <x:v>Стресс-тест достаточности 15 млн ₽</x:v>
      </x:c>
      <x:c r="H14" s="212"/>
      <x:c r="I14" s="186"/>
      <x:c r="J14" s="186"/>
      <x:c r="K14" s="186"/>
      <x:c r="L14" s="186"/>
      <x:c r="M14" s="186"/>
    </x:row>
    <x:row r="15" ht="26.399999618530273" hidden="0" customHeight="1">
      <x:c r="A15" s="186" t="str">
        <x:v>Сценарий</x:v>
      </x:c>
      <x:c r="B15" s="186" t="str">
        <x:v>Клиенты M6</x:v>
      </x:c>
      <x:c r="C15" s="186" t="str">
        <x:v>ARR M6, ₽</x:v>
      </x:c>
      <x:c r="D15" s="186" t="str">
        <x:v>Клиенты M12</x:v>
      </x:c>
      <x:c r="E15" s="209" t="str">
        <x:v>ARR M12, ₽</x:v>
      </x:c>
      <x:c r="F15" s="186" t="str">
        <x:v>Стоимость QORSYS M36, ₽</x:v>
      </x:c>
      <x:c r="G15" s="186" t="str">
        <x:v>Сценарий</x:v>
      </x:c>
      <x:c r="H15" s="215" t="str">
        <x:v>Мин. cash, ₽</x:v>
      </x:c>
      <x:c r="I15" s="186" t="str">
        <x:v>Месяц ниже резерва</x:v>
      </x:c>
      <x:c r="J15" s="186" t="str">
        <x:v>Доп. капитал до резерва, ₽</x:v>
      </x:c>
      <x:c r="K15" s="186" t="str">
        <x:v>EBITDA год 1, ₽</x:v>
      </x:c>
      <x:c r="L15" s="186" t="str">
        <x:v>Первый отрицательный cash</x:v>
      </x:c>
      <x:c r="M15" s="186" t="str">
        <x:v>Статус</x:v>
      </x:c>
    </x:row>
    <x:row r="16" ht="15" hidden="0" customHeight="1">
      <x:c r="A16" s="32" t="str">
        <x:v>Консервативный</x:v>
      </x:c>
      <x:c r="B16" s="244" t="n">
        <x:f>((((((((((IF('Допущения'!$C$17=0,'План аудитов'!B4*'Допущения'!$C$5*'Допущения'!$C$6,0))*(1-'Допущения'!$C$7)+(IF('Допущения'!$C$17=0,'План аудитов'!C4*'Допущения'!$C$5*'Допущения'!$C$6,'План аудитов'!B4*'Допущения'!$C$5*'Допущения'!$C$6))))*(1-'Допущения'!$C$7)+(IF('Допущения'!$C$17=0,'План аудитов'!D4*'Допущения'!$C$5*'Допущения'!$C$6,'План аудитов'!C4*'Допущения'!$C$5*'Допущения'!$C$6))))*(1-'Допущения'!$C$7)+(IF('Допущения'!$C$17=0,'План аудитов'!E4*'Допущения'!$C$5*'Допущения'!$C$6,'План аудитов'!D4*'Допущения'!$C$5*'Допущения'!$C$6))))*(1-'Допущения'!$C$7)+(IF('Допущения'!$C$17=0,'План аудитов'!F4*'Допущения'!$C$5*'Допущения'!$C$6,'План аудитов'!E4*'Допущения'!$C$5*'Допущения'!$C$6))))*(1-'Допущения'!$C$7)+(IF('Допущения'!$C$17=0,'План аудитов'!G4*'Допущения'!$C$5*'Допущения'!$C$6,'План аудитов'!F4*'Допущения'!$C$5*'Допущения'!$C$6)))</x:f>
        <x:v>3.0753858871968744</x:v>
      </x:c>
      <x:c r="C16" s="242" t="n">
        <x:f>B16*'Допущения'!$C$8*12</x:f>
        <x:v>8303541.89543156</x:v>
      </x:c>
      <x:c r="D16" s="244" t="n">
        <x:f>((((((((((((((((((((((IF('Допущения'!$C$17=0,'План аудитов'!B4*'Допущения'!$C$5*'Допущения'!$C$6,0))*(1-'Допущения'!$C$7)+(IF('Допущения'!$C$17=0,'План аудитов'!C4*'Допущения'!$C$5*'Допущения'!$C$6,'План аудитов'!B4*'Допущения'!$C$5*'Допущения'!$C$6))))*(1-'Допущения'!$C$7)+(IF('Допущения'!$C$17=0,'План аудитов'!D4*'Допущения'!$C$5*'Допущения'!$C$6,'План аудитов'!C4*'Допущения'!$C$5*'Допущения'!$C$6))))*(1-'Допущения'!$C$7)+(IF('Допущения'!$C$17=0,'План аудитов'!E4*'Допущения'!$C$5*'Допущения'!$C$6,'План аудитов'!D4*'Допущения'!$C$5*'Допущения'!$C$6))))*(1-'Допущения'!$C$7)+(IF('Допущения'!$C$17=0,'План аудитов'!F4*'Допущения'!$C$5*'Допущения'!$C$6,'План аудитов'!E4*'Допущения'!$C$5*'Допущения'!$C$6))))*(1-'Допущения'!$C$7)+(IF('Допущения'!$C$17=0,'План аудитов'!G4*'Допущения'!$C$5*'Допущения'!$C$6,'План аудитов'!F4*'Допущения'!$C$5*'Допущения'!$C$6))))*(1-'Допущения'!$C$7)+(IF('Допущения'!$C$17=0,'План аудитов'!H4*'Допущения'!$C$5*'Допущения'!$C$6,'План аудитов'!G4*'Допущения'!$C$5*'Допущения'!$C$6))))*(1-'Допущения'!$C$7)+(IF('Допущения'!$C$17=0,'План аудитов'!I4*'Допущения'!$C$5*'Допущения'!$C$6,'План аудитов'!H4*'Допущения'!$C$5*'Допущения'!$C$6))))*(1-'Допущения'!$C$7)+(IF('Допущения'!$C$17=0,'План аудитов'!J4*'Допущения'!$C$5*'Допущения'!$C$6,'План аудитов'!I4*'Допущения'!$C$5*'Допущения'!$C$6))))*(1-'Допущения'!$C$7)+(IF('Допущения'!$C$17=0,'План аудитов'!K4*'Допущения'!$C$5*'Допущения'!$C$6,'План аудитов'!J4*'Допущения'!$C$5*'Допущения'!$C$6))))*(1-'Допущения'!$C$7)+(IF('Допущения'!$C$17=0,'План аудитов'!L4*'Допущения'!$C$5*'Допущения'!$C$6,'План аудитов'!K4*'Допущения'!$C$5*'Допущения'!$C$6))))*(1-'Допущения'!$C$7)+(IF('Допущения'!$C$17=0,'План аудитов'!M4*'Допущения'!$C$5*'Допущения'!$C$6,'План аудитов'!L4*'Допущения'!$C$5*'Допущения'!$C$6)))</x:f>
        <x:v>7.686208866775819</x:v>
      </x:c>
      <x:c r="E16" s="242" t="n">
        <x:f>D16*'Допущения'!$C$8*12</x:f>
        <x:v>20752763.940294713</x:v>
      </x:c>
      <x:c r="F16" s="242" t="n">
        <x:f>'Оценка и инвестор'!E16</x:f>
        <x:v>201612437.28296423</x:v>
      </x:c>
      <x:c r="G16" s="32" t="str">
        <x:v>Базовый</x:v>
      </x:c>
      <x:c r="H16" s="242" t="n">
        <x:f>'Стресс-тест'!N5</x:f>
        <x:v>8255712.529204001</x:v>
      </x:c>
      <x:c r="I16" s="250" t="n">
        <x:f>'Стресс-тест'!O5</x:f>
        <x:v>0</x:v>
      </x:c>
      <x:c r="J16" s="242" t="n">
        <x:f>'Стресс-тест'!P5</x:f>
        <x:v>0</x:v>
      </x:c>
      <x:c r="K16" s="242" t="n">
        <x:f>'Стресс-тест'!J11</x:f>
        <x:v>-1748871.6927944506</x:v>
      </x:c>
      <x:c r="L16" s="250" t="n">
        <x:f>'Стресс-тест'!L11</x:f>
        <x:v>0</x:v>
      </x:c>
      <x:c r="M16" s="144" t="str">
        <x:f>'Стресс-тест'!M11</x:f>
        <x:v>ХВАТАЕТ</x:v>
      </x:c>
    </x:row>
    <x:row r="17" ht="15" hidden="0" customHeight="1">
      <x:c r="A17" s="32" t="str">
        <x:v>Базовый</x:v>
      </x:c>
      <x:c r="B17" s="244" t="n">
        <x:f>((((((((((IF('Допущения'!$D$17=0,'План аудитов'!B5*'Допущения'!$D$5*'Допущения'!$D$6,0))*(1-'Допущения'!$D$7)+(IF('Допущения'!$D$17=0,'План аудитов'!C5*'Допущения'!$D$5*'Допущения'!$D$6,'План аудитов'!B5*'Допущения'!$D$5*'Допущения'!$D$6))))*(1-'Допущения'!$D$7)+(IF('Допущения'!$D$17=0,'План аудитов'!D5*'Допущения'!$D$5*'Допущения'!$D$6,'План аудитов'!C5*'Допущения'!$D$5*'Допущения'!$D$6))))*(1-'Допущения'!$D$7)+(IF('Допущения'!$D$17=0,'План аудитов'!E5*'Допущения'!$D$5*'Допущения'!$D$6,'План аудитов'!D5*'Допущения'!$D$5*'Допущения'!$D$6))))*(1-'Допущения'!$D$7)+(IF('Допущения'!$D$17=0,'План аудитов'!F5*'Допущения'!$D$5*'Допущения'!$D$6,'План аудитов'!E5*'Допущения'!$D$5*'Допущения'!$D$6))))*(1-'Допущения'!$D$7)+(IF('Допущения'!$D$17=0,'План аудитов'!G5*'Допущения'!$D$5*'Допущения'!$D$6,'План аудитов'!F5*'Допущения'!$D$5*'Допущения'!$D$6)))</x:f>
        <x:v>6.922251168800001</x:v>
      </x:c>
      <x:c r="C17" s="242" t="n">
        <x:f>B17*'Допущения'!$D$8*12</x:f>
        <x:v>20766753.506400004</x:v>
      </x:c>
      <x:c r="D17" s="244" t="n">
        <x:f>((((((((((((((((((((((IF('Допущения'!$D$17=0,'План аудитов'!B5*'Допущения'!$D$5*'Допущения'!$D$6,0))*(1-'Допущения'!$D$7)+(IF('Допущения'!$D$17=0,'План аудитов'!C5*'Допущения'!$D$5*'Допущения'!$D$6,'План аудитов'!B5*'Допущения'!$D$5*'Допущения'!$D$6))))*(1-'Допущения'!$D$7)+(IF('Допущения'!$D$17=0,'План аудитов'!D5*'Допущения'!$D$5*'Допущения'!$D$6,'План аудитов'!C5*'Допущения'!$D$5*'Допущения'!$D$6))))*(1-'Допущения'!$D$7)+(IF('Допущения'!$D$17=0,'План аудитов'!E5*'Допущения'!$D$5*'Допущения'!$D$6,'План аудитов'!D5*'Допущения'!$D$5*'Допущения'!$D$6))))*(1-'Допущения'!$D$7)+(IF('Допущения'!$D$17=0,'План аудитов'!F5*'Допущения'!$D$5*'Допущения'!$D$6,'План аудитов'!E5*'Допущения'!$D$5*'Допущения'!$D$6))))*(1-'Допущения'!$D$7)+(IF('Допущения'!$D$17=0,'План аудитов'!G5*'Допущения'!$D$5*'Допущения'!$D$6,'План аудитов'!F5*'Допущения'!$D$5*'Допущения'!$D$6))))*(1-'Допущения'!$D$7)+(IF('Допущения'!$D$17=0,'План аудитов'!H5*'Допущения'!$D$5*'Допущения'!$D$6,'План аудитов'!G5*'Допущения'!$D$5*'Допущения'!$D$6))))*(1-'Допущения'!$D$7)+(IF('Допущения'!$D$17=0,'План аудитов'!I5*'Допущения'!$D$5*'Допущения'!$D$6,'План аудитов'!H5*'Допущения'!$D$5*'Допущения'!$D$6))))*(1-'Допущения'!$D$7)+(IF('Допущения'!$D$17=0,'План аудитов'!J5*'Допущения'!$D$5*'Допущения'!$D$6,'План аудитов'!I5*'Допущения'!$D$5*'Допущения'!$D$6))))*(1-'Допущения'!$D$7)+(IF('Допущения'!$D$17=0,'План аудитов'!K5*'Допущения'!$D$5*'Допущения'!$D$6,'План аудитов'!J5*'Допущения'!$D$5*'Допущения'!$D$6))))*(1-'Допущения'!$D$7)+(IF('Допущения'!$D$17=0,'План аудитов'!L5*'Допущения'!$D$5*'Допущения'!$D$6,'План аудитов'!K5*'Допущения'!$D$5*'Допущения'!$D$6))))*(1-'Допущения'!$D$7)+(IF('Допущения'!$D$17=0,'План аудитов'!M5*'Допущения'!$D$5*'Допущения'!$D$6,'План аудитов'!L5*'Допущения'!$D$5*'Допущения'!$D$6)))</x:f>
        <x:v>18.973093574417074</x:v>
      </x:c>
      <x:c r="E17" s="242" t="n">
        <x:f>D17*'Допущения'!$D$8*12</x:f>
        <x:v>56919280.72325122</x:v>
      </x:c>
      <x:c r="F17" s="242" t="n">
        <x:f>'Оценка и инвестор'!E17</x:f>
        <x:v>806030934.0971963</x:v>
      </x:c>
      <x:c r="G17" s="32" t="str">
        <x:v>Мягкий стресс</x:v>
      </x:c>
      <x:c r="H17" s="242" t="n">
        <x:f>'Стресс-тест'!N6</x:f>
        <x:v>-13723729.023769468</x:v>
      </x:c>
      <x:c r="I17" s="250" t="n">
        <x:f>'Стресс-тест'!O6</x:f>
        <x:v>4</x:v>
      </x:c>
      <x:c r="J17" s="242" t="n">
        <x:f>'Стресс-тест'!P6</x:f>
        <x:v>16523729.023769468</x:v>
      </x:c>
      <x:c r="K17" s="242" t="n">
        <x:f>'Стресс-тест'!J12</x:f>
        <x:v>-20624206.214513905</x:v>
      </x:c>
      <x:c r="L17" s="250" t="n">
        <x:f>'Стресс-тест'!L12</x:f>
        <x:v>6</x:v>
      </x:c>
      <x:c r="M17" s="144" t="str">
        <x:f>'Стресс-тест'!M12</x:f>
        <x:v>НЕ ХВАТАЕТ</x:v>
      </x:c>
    </x:row>
    <x:row r="18" ht="15" hidden="0" customHeight="1">
      <x:c r="A18" s="32" t="str">
        <x:v>Целевой</x:v>
      </x:c>
      <x:c r="B18" s="244" t="n">
        <x:f>((((((((((IF('Допущения'!$E$17=0,'План аудитов'!B6*'Допущения'!$E$5*'Допущения'!$E$6,0))*(1-'Допущения'!$E$7)+(IF('Допущения'!$E$17=0,'План аудитов'!C6*'Допущения'!$E$5*'Допущения'!$E$6,'План аудитов'!B6*'Допущения'!$E$5*'Допущения'!$E$6))))*(1-'Допущения'!$E$7)+(IF('Допущения'!$E$17=0,'План аудитов'!D6*'Допущения'!$E$5*'Допущения'!$E$6,'План аудитов'!C6*'Допущения'!$E$5*'Допущения'!$E$6))))*(1-'Допущения'!$E$7)+(IF('Допущения'!$E$17=0,'План аудитов'!E6*'Допущения'!$E$5*'Допущения'!$E$6,'План аудитов'!D6*'Допущения'!$E$5*'Допущения'!$E$6))))*(1-'Допущения'!$E$7)+(IF('Допущения'!$E$17=0,'План аудитов'!F6*'Допущения'!$E$5*'Допущения'!$E$6,'План аудитов'!E6*'Допущения'!$E$5*'Допущения'!$E$6))))*(1-'Допущения'!$E$7)+(IF('Допущения'!$E$17=0,'План аудитов'!G6*'Допущения'!$E$5*'Допущения'!$E$6,'План аудитов'!F6*'Допущения'!$E$5*'Допущения'!$E$6)))</x:f>
        <x:v>10.28886072922175</x:v>
      </x:c>
      <x:c r="C18" s="242" t="n">
        <x:f>B18*'Допущения'!$E$8*12</x:f>
        <x:v>30866582.18766525</x:v>
      </x:c>
      <x:c r="D18" s="244" t="n">
        <x:f>((((((((((((((((((((((IF('Допущения'!$E$17=0,'План аудитов'!B6*'Допущения'!$E$5*'Допущения'!$E$6,0))*(1-'Допущения'!$E$7)+(IF('Допущения'!$E$17=0,'План аудитов'!C6*'Допущения'!$E$5*'Допущения'!$E$6,'План аудитов'!B6*'Допущения'!$E$5*'Допущения'!$E$6))))*(1-'Допущения'!$E$7)+(IF('Допущения'!$E$17=0,'План аудитов'!D6*'Допущения'!$E$5*'Допущения'!$E$6,'План аудитов'!C6*'Допущения'!$E$5*'Допущения'!$E$6))))*(1-'Допущения'!$E$7)+(IF('Допущения'!$E$17=0,'План аудитов'!E6*'Допущения'!$E$5*'Допущения'!$E$6,'План аудитов'!D6*'Допущения'!$E$5*'Допущения'!$E$6))))*(1-'Допущения'!$E$7)+(IF('Допущения'!$E$17=0,'План аудитов'!F6*'Допущения'!$E$5*'Допущения'!$E$6,'План аудитов'!E6*'Допущения'!$E$5*'Допущения'!$E$6))))*(1-'Допущения'!$E$7)+(IF('Допущения'!$E$17=0,'План аудитов'!G6*'Допущения'!$E$5*'Допущения'!$E$6,'План аудитов'!F6*'Допущения'!$E$5*'Допущения'!$E$6))))*(1-'Допущения'!$E$7)+(IF('Допущения'!$E$17=0,'План аудитов'!H6*'Допущения'!$E$5*'Допущения'!$E$6,'План аудитов'!G6*'Допущения'!$E$5*'Допущения'!$E$6))))*(1-'Допущения'!$E$7)+(IF('Допущения'!$E$17=0,'План аудитов'!I6*'Допущения'!$E$5*'Допущения'!$E$6,'План аудитов'!H6*'Допущения'!$E$5*'Допущения'!$E$6))))*(1-'Допущения'!$E$7)+(IF('Допущения'!$E$17=0,'План аудитов'!J6*'Допущения'!$E$5*'Допущения'!$E$6,'План аудитов'!I6*'Допущения'!$E$5*'Допущения'!$E$6))))*(1-'Допущения'!$E$7)+(IF('Допущения'!$E$17=0,'План аудитов'!K6*'Допущения'!$E$5*'Допущения'!$E$6,'План аудитов'!J6*'Допущения'!$E$5*'Допущения'!$E$6))))*(1-'Допущения'!$E$7)+(IF('Допущения'!$E$17=0,'План аудитов'!L6*'Допущения'!$E$5*'Допущения'!$E$6,'План аудитов'!K6*'Допущения'!$E$5*'Допущения'!$E$6))))*(1-'Допущения'!$E$7)+(IF('Допущения'!$E$17=0,'План аудитов'!M6*'Допущения'!$E$5*'Допущения'!$E$6,'План аудитов'!L6*'Допущения'!$E$5*'Допущения'!$E$6)))</x:f>
        <x:v>27.4341817659223</x:v>
      </x:c>
      <x:c r="E18" s="242" t="n">
        <x:f>D18*'Допущения'!$E$8*12</x:f>
        <x:v>82302545.2977669</x:v>
      </x:c>
      <x:c r="F18" s="242" t="n">
        <x:f>'Оценка и инвестор'!E18</x:f>
        <x:v>1860675135.8259277</x:v>
      </x:c>
      <x:c r="G18" s="10" t="str">
        <x:v>Сильный стресс</x:v>
      </x:c>
      <x:c r="H18" s="218" t="n">
        <x:f>'Стресс-тест'!N7</x:f>
        <x:v>-64386773.53440799</x:v>
      </x:c>
      <x:c r="I18" s="219" t="n">
        <x:f>'Стресс-тест'!O7</x:f>
        <x:v>4</x:v>
      </x:c>
      <x:c r="J18" s="218" t="n">
        <x:f>'Стресс-тест'!P7</x:f>
        <x:v>67186773.53440799</x:v>
      </x:c>
      <x:c r="K18" s="242" t="n">
        <x:f>'Стресс-тест'!J13</x:f>
        <x:v>-37016426.11273625</x:v>
      </x:c>
      <x:c r="L18" s="250" t="n">
        <x:f>'Стресс-тест'!L13</x:f>
        <x:v>4</x:v>
      </x:c>
      <x:c r="M18" s="144" t="str">
        <x:f>'Стресс-тест'!M13</x:f>
        <x:v>НЕ ХВАТАЕТ</x:v>
      </x:c>
    </x:row>
    <x:row r="19" ht="15" hidden="0" customHeight="1">
      <x:c r="A19" s="32"/>
      <x:c r="B19" s="32"/>
      <x:c r="C19" s="32"/>
      <x:c r="D19" s="32"/>
      <x:c r="E19" s="251"/>
      <x:c r="F19" s="32"/>
      <x:c r="G19" s="10" t="str">
        <x:v>Экстремальный стресс</x:v>
      </x:c>
      <x:c r="H19" s="218" t="n">
        <x:f>'Стресс-тест'!N8</x:f>
        <x:v>-124383169.96426122</x:v>
      </x:c>
      <x:c r="I19" s="250" t="n">
        <x:f>'Стресс-тест'!O8</x:f>
        <x:v>4</x:v>
      </x:c>
      <x:c r="J19" s="242" t="n">
        <x:f>'Стресс-тест'!P8</x:f>
        <x:v>127183169.96426122</x:v>
      </x:c>
      <x:c r="K19" s="242" t="n">
        <x:f>'Стресс-тест'!J14</x:f>
        <x:v>-47288415.65532322</x:v>
      </x:c>
      <x:c r="L19" s="250" t="n">
        <x:f>'Стресс-тест'!L14</x:f>
        <x:v>4</x:v>
      </x:c>
      <x:c r="M19" s="144" t="str">
        <x:f>'Стресс-тест'!M14</x:f>
        <x:v>НЕ ХВАТАЕТ</x:v>
      </x:c>
    </x:row>
    <x:row r="20">
      <x:c r="A20" s="32"/>
      <x:c r="B20" s="32"/>
      <x:c r="C20" s="32"/>
      <x:c r="D20" s="32"/>
      <x:c r="E20" s="245"/>
      <x:c r="F20" s="32"/>
      <x:c r="G20" s="32"/>
      <x:c r="H20" s="242"/>
      <x:c r="I20" s="32"/>
      <x:c r="J20" s="32"/>
      <x:c r="K20" s="32"/>
      <x:c r="L20" s="32"/>
      <x:c r="M20" s="32"/>
    </x:row>
    <x:row r="21">
      <x:c r="A21" s="32"/>
      <x:c r="B21" s="32"/>
      <x:c r="C21" s="32"/>
      <x:c r="D21" s="32"/>
      <x:c r="E21" s="32"/>
      <x:c r="F21" s="32"/>
      <x:c r="G21" s="32"/>
      <x:c r="H21" s="242"/>
      <x:c r="I21" s="32"/>
      <x:c r="J21" s="32"/>
      <x:c r="K21" s="32"/>
      <x:c r="L21" s="32"/>
      <x:c r="M21" s="32"/>
    </x:row>
    <x:row r="22" ht="26" customHeight="1">
      <x:c r="A22" s="186" t="str">
        <x:v>Открытые допущения перед отправкой инвестору</x:v>
      </x:c>
      <x:c r="B22" s="186"/>
      <x:c r="C22" s="186"/>
      <x:c r="D22" s="186"/>
      <x:c r="E22" s="186"/>
      <x:c r="F22" s="186"/>
      <x:c r="G22" s="186" t="str">
        <x:v>Не включено в базовый прогноз</x:v>
      </x:c>
      <x:c r="H22" s="209"/>
      <x:c r="I22" s="186"/>
      <x:c r="J22" s="186"/>
      <x:c r="K22" s="186"/>
      <x:c r="L22" s="186"/>
      <x:c r="M22" s="186"/>
    </x:row>
    <x:row r="23" ht="15" hidden="0" customHeight="1">
      <x:c r="A23" s="186" t="str">
        <x:v>Параметр</x:v>
      </x:c>
      <x:c r="B23" s="186" t="str">
        <x:v>Текущее значение</x:v>
      </x:c>
      <x:c r="C23" s="186" t="str">
        <x:v>Статус</x:v>
      </x:c>
      <x:c r="D23" s="186" t="str">
        <x:v>Почему важно</x:v>
      </x:c>
      <x:c r="E23" s="186" t="str">
        <x:v>Где менять</x:v>
      </x:c>
      <x:c r="F23" s="186" t="str">
        <x:v>Приоритет</x:v>
      </x:c>
      <x:c r="G23" s="232" t="str">
        <x:v>Элемент</x:v>
      </x:c>
      <x:c r="H23" s="233" t="str">
        <x:v>В базе?</x:v>
      </x:c>
      <x:c r="I23" s="232" t="str">
        <x:v>Почему</x:v>
      </x:c>
      <x:c r="J23" s="232" t="str">
        <x:v>Потенциал</x:v>
      </x:c>
      <x:c r="K23" s="232" t="str">
        <x:v>Статус</x:v>
      </x:c>
      <x:c r="L23" s="232" t="str"/>
      <x:c r="M23" s="232" t="str"/>
    </x:row>
    <x:row r="24" ht="34" hidden="0" customHeight="1">
      <x:c r="A24" s="32" t="str">
        <x:v>Налоговый режим</x:v>
      </x:c>
      <x:c r="B24" s="252" t="n">
        <x:v>0</x:v>
      </x:c>
      <x:c r="C24" s="32" t="str">
        <x:v>Открыто</x:v>
      </x:c>
      <x:c r="D24" s="32" t="str">
        <x:v>Влияет на денежный поток</x:v>
      </x:c>
      <x:c r="E24" s="32" t="str">
        <x:v>Допущения</x:v>
      </x:c>
      <x:c r="F24" s="32" t="str">
        <x:v>Высокий</x:v>
      </x:c>
      <x:c r="G24" s="32" t="str">
        <x:v>Вознаграждение 15–30% от эффекта</x:v>
      </x:c>
      <x:c r="H24" s="234" t="str">
        <x:v>Нет</x:v>
      </x:c>
      <x:c r="I24" s="32" t="str">
        <x:v>Не завышаем прогноз</x:v>
      </x:c>
      <x:c r="J24" s="32" t="str">
        <x:v>Дополнительная выручка</x:v>
      </x:c>
      <x:c r="K24" s="32" t="str">
        <x:v>После подтверждения эффекта</x:v>
      </x:c>
      <x:c r="L24" s="32" t="str"/>
      <x:c r="M24" s="32" t="str"/>
    </x:row>
    <x:row r="25" ht="34" hidden="0" customHeight="1">
      <x:c r="A25" s="32" t="str">
        <x:v>Лаг оплаты клиентов</x:v>
      </x:c>
      <x:c r="B25" s="253" t="n">
        <x:v>0</x:v>
      </x:c>
      <x:c r="C25" s="32" t="str">
        <x:v>Гипотеза</x:v>
      </x:c>
      <x:c r="D25" s="32" t="str">
        <x:v>30–60 дней меняют потребность в капитале</x:v>
      </x:c>
      <x:c r="E25" s="32" t="str">
        <x:v>Допущения / Стресс-тест</x:v>
      </x:c>
      <x:c r="F25" s="32" t="str">
        <x:v>Высокий</x:v>
      </x:c>
      <x:c r="G25" s="32" t="str">
        <x:v>Платные модули</x:v>
      </x:c>
      <x:c r="H25" s="32" t="str">
        <x:v>Нет</x:v>
      </x:c>
      <x:c r="I25" s="32" t="str">
        <x:v>Ещё не валидированы</x:v>
      </x:c>
      <x:c r="J25" s="32" t="str">
        <x:v>Расширение дохода на клиента</x:v>
      </x:c>
      <x:c r="K25" s="32" t="str">
        <x:v>Будущая стадия</x:v>
      </x:c>
      <x:c r="L25" s="32" t="str"/>
      <x:c r="M25" s="32" t="str"/>
    </x:row>
    <x:row r="26" ht="34" hidden="0" customHeight="1">
      <x:c r="A26" s="32" t="str">
        <x:v>Конверсия Audit → Optimize</x:v>
      </x:c>
      <x:c r="B26" s="252" t="n">
        <x:v>0.55</x:v>
      </x:c>
      <x:c r="C26" s="32" t="str">
        <x:v>Гипотеза</x:v>
      </x:c>
      <x:c r="D26" s="32" t="str">
        <x:v>Ключевой драйвер воронки</x:v>
      </x:c>
      <x:c r="E26" s="32" t="str">
        <x:v>Допущения</x:v>
      </x:c>
      <x:c r="F26" s="32" t="str">
        <x:v>Высокий</x:v>
      </x:c>
      <x:c r="G26" s="32" t="str">
        <x:v>Платформа разработчиков</x:v>
      </x:c>
      <x:c r="H26" s="32" t="str">
        <x:v>Нет</x:v>
      </x:c>
      <x:c r="I26" s="32" t="str">
        <x:v>Не продукт текущего раунда</x:v>
      </x:c>
      <x:c r="J26" s="32" t="str">
        <x:v>Второй слой монетизации</x:v>
      </x:c>
      <x:c r="K26" s="32" t="str">
        <x:v>Будущая стадия</x:v>
      </x:c>
      <x:c r="L26" s="32" t="str"/>
      <x:c r="M26" s="32" t="str"/>
    </x:row>
    <x:row r="27" ht="34" hidden="0" customHeight="1">
      <x:c r="A27" s="32" t="str">
        <x:v>Ежемесячный отток</x:v>
      </x:c>
      <x:c r="B27" s="252" t="n">
        <x:v>0.01</x:v>
      </x:c>
      <x:c r="C27" s="32" t="str">
        <x:v>Гипотеза</x:v>
      </x:c>
      <x:c r="D27" s="32" t="str">
        <x:v>Сильно влияет на LTV и M36</x:v>
      </x:c>
      <x:c r="E27" s="32" t="str">
        <x:v>Допущения</x:v>
      </x:c>
      <x:c r="F27" s="32" t="str">
        <x:v>Средний</x:v>
      </x:c>
      <x:c r="G27" s="32" t="str">
        <x:v>Каталог / marketplace</x:v>
      </x:c>
      <x:c r="H27" s="32" t="str">
        <x:v>Нет</x:v>
      </x:c>
      <x:c r="I27" s="32" t="str">
        <x:v>Не входит в Core v1</x:v>
      </x:c>
      <x:c r="J27" s="32" t="str">
        <x:v>Комиссионная модель</x:v>
      </x:c>
      <x:c r="K27" s="32" t="str">
        <x:v>Будущая стадия</x:v>
      </x:c>
      <x:c r="L27" s="32" t="str"/>
      <x:c r="M27" s="32" t="str"/>
    </x:row>
    <x:row r="28" ht="34" hidden="0" customHeight="1">
      <x:c r="A28" s="32" t="str">
        <x:v>Себестоимость аудита</x:v>
      </x:c>
      <x:c r="B28" s="254" t="n">
        <x:v>180000</x:v>
      </x:c>
      <x:c r="C28" s="32" t="str">
        <x:v>Гипотеза</x:v>
      </x:c>
      <x:c r="D28" s="32" t="str">
        <x:v>Определяет реальный CAC</x:v>
      </x:c>
      <x:c r="E28" s="32" t="str">
        <x:v>Допущения</x:v>
      </x:c>
      <x:c r="F28" s="32" t="str">
        <x:v>Средний</x:v>
      </x:c>
      <x:c r="G28" s="32" t="str">
        <x:v>Денежный выход инвестора</x:v>
      </x:c>
      <x:c r="H28" s="32" t="str">
        <x:v>Нет</x:v>
      </x:c>
      <x:c r="I28" s="32" t="str">
        <x:v>Нет гарантированной ликвидности</x:v>
      </x:c>
      <x:c r="J28" s="32" t="str">
        <x:v>Сценарная бумажная стоимость</x:v>
      </x:c>
      <x:c r="K28" s="32" t="str">
        <x:v>Не обещание</x:v>
      </x:c>
      <x:c r="L28" s="32" t="str"/>
      <x:c r="M28" s="32" t="str"/>
    </x:row>
    <x:row r="29">
      <x:c r="A29" s="32"/>
      <x:c r="B29" s="32"/>
      <x:c r="C29" s="32"/>
      <x:c r="D29" s="32"/>
      <x:c r="E29" s="32"/>
      <x:c r="F29" s="32"/>
      <x:c r="G29" s="32"/>
      <x:c r="H29" s="32"/>
      <x:c r="I29" s="32"/>
      <x:c r="J29" s="32"/>
      <x:c r="K29" s="32"/>
      <x:c r="L29" s="32"/>
      <x:c r="M29" s="32"/>
    </x:row>
    <x:row r="30">
      <x:c r="A30" s="32"/>
      <x:c r="B30" s="32"/>
      <x:c r="C30" s="32"/>
      <x:c r="D30" s="32"/>
      <x:c r="E30" s="32"/>
      <x:c r="F30" s="32"/>
      <x:c r="G30" s="32"/>
      <x:c r="H30" s="32"/>
      <x:c r="I30" s="32"/>
      <x:c r="J30" s="32"/>
      <x:c r="K30" s="32"/>
      <x:c r="L30" s="32"/>
      <x:c r="M30" s="32"/>
    </x:row>
    <x:row r="31">
      <x:c r="A31" s="32"/>
      <x:c r="B31" s="32"/>
      <x:c r="C31" s="32"/>
      <x:c r="D31" s="32"/>
      <x:c r="E31" s="32"/>
      <x:c r="F31" s="32"/>
      <x:c r="G31" s="32"/>
      <x:c r="H31" s="32"/>
      <x:c r="I31" s="32"/>
      <x:c r="J31" s="32"/>
      <x:c r="K31" s="32"/>
      <x:c r="L31" s="32"/>
      <x:c r="M31" s="32"/>
    </x:row>
    <x:row r="32">
      <x:c r="A32" s="32"/>
      <x:c r="B32" s="32"/>
      <x:c r="C32" s="32"/>
      <x:c r="D32" s="32"/>
      <x:c r="E32" s="32"/>
      <x:c r="F32" s="32"/>
      <x:c r="G32" s="32"/>
      <x:c r="H32" s="32"/>
      <x:c r="I32" s="32"/>
      <x:c r="J32" s="32"/>
      <x:c r="K32" s="32"/>
      <x:c r="L32" s="32"/>
      <x:c r="M32" s="32"/>
    </x:row>
    <x:row r="33">
      <x:c r="A33" s="32"/>
      <x:c r="B33" s="32"/>
      <x:c r="C33" s="32"/>
      <x:c r="D33" s="32"/>
      <x:c r="E33" s="32"/>
      <x:c r="F33" s="32"/>
      <x:c r="G33" s="32"/>
      <x:c r="H33" s="32"/>
      <x:c r="I33" s="32"/>
      <x:c r="J33" s="32"/>
      <x:c r="K33" s="32"/>
      <x:c r="L33" s="32"/>
      <x:c r="M33" s="32"/>
    </x:row>
    <x:row r="34">
      <x:c r="A34" s="32"/>
      <x:c r="B34" s="32"/>
      <x:c r="C34" s="32"/>
      <x:c r="D34" s="32"/>
      <x:c r="E34" s="32"/>
      <x:c r="F34" s="32"/>
      <x:c r="G34" s="32"/>
      <x:c r="H34" s="32"/>
      <x:c r="I34" s="32"/>
      <x:c r="J34" s="32"/>
      <x:c r="K34" s="32"/>
      <x:c r="L34" s="32"/>
      <x:c r="M34" s="32"/>
    </x:row>
    <x:row r="35">
      <x:c r="A35" s="32"/>
      <x:c r="B35" s="32"/>
      <x:c r="C35" s="32"/>
      <x:c r="D35" s="32"/>
      <x:c r="E35" s="32"/>
      <x:c r="F35" s="32"/>
      <x:c r="G35" s="32"/>
      <x:c r="H35" s="32"/>
      <x:c r="I35" s="32"/>
      <x:c r="J35" s="32"/>
      <x:c r="K35" s="32"/>
      <x:c r="L35" s="32"/>
      <x:c r="M35" s="32"/>
    </x:row>
    <x:row r="36">
      <x:c r="A36" s="32"/>
      <x:c r="B36" s="32"/>
      <x:c r="C36" s="32"/>
      <x:c r="D36" s="32"/>
      <x:c r="E36" s="32"/>
      <x:c r="F36" s="32"/>
      <x:c r="G36" s="32"/>
      <x:c r="H36" s="32"/>
      <x:c r="I36" s="32"/>
      <x:c r="J36" s="32"/>
      <x:c r="K36" s="32"/>
      <x:c r="L36" s="32"/>
      <x:c r="M36" s="32"/>
    </x:row>
    <x:row r="37">
      <x:c r="A37" s="32"/>
      <x:c r="B37" s="32"/>
      <x:c r="C37" s="32"/>
      <x:c r="D37" s="32"/>
      <x:c r="E37" s="32"/>
      <x:c r="F37" s="32"/>
      <x:c r="G37" s="32"/>
      <x:c r="H37" s="32"/>
      <x:c r="I37" s="32"/>
      <x:c r="J37" s="32"/>
      <x:c r="K37" s="32"/>
      <x:c r="L37" s="32"/>
      <x:c r="M37" s="32"/>
    </x:row>
    <x:row r="38">
      <x:c r="A38" s="32"/>
      <x:c r="B38" s="32"/>
      <x:c r="C38" s="32"/>
      <x:c r="D38" s="32"/>
      <x:c r="E38" s="32"/>
      <x:c r="F38" s="32"/>
      <x:c r="G38" s="32"/>
      <x:c r="H38" s="32"/>
      <x:c r="I38" s="32"/>
      <x:c r="J38" s="32"/>
      <x:c r="K38" s="32"/>
      <x:c r="L38" s="32"/>
      <x:c r="M38" s="32"/>
    </x:row>
    <x:row r="39">
      <x:c r="A39" s="32"/>
      <x:c r="B39" s="32"/>
      <x:c r="C39" s="32"/>
      <x:c r="D39" s="32"/>
      <x:c r="E39" s="32"/>
      <x:c r="F39" s="32"/>
      <x:c r="G39" s="32"/>
      <x:c r="H39" s="32"/>
      <x:c r="I39" s="32"/>
      <x:c r="J39" s="32"/>
      <x:c r="K39" s="32"/>
      <x:c r="L39" s="32"/>
      <x:c r="M39" s="32"/>
    </x:row>
    <x:row r="40">
      <x:c r="A40" s="32"/>
      <x:c r="B40" s="32"/>
      <x:c r="C40" s="32"/>
      <x:c r="D40" s="32"/>
      <x:c r="E40" s="32"/>
      <x:c r="F40" s="32"/>
      <x:c r="G40" s="32"/>
      <x:c r="H40" s="32"/>
      <x:c r="I40" s="32"/>
      <x:c r="J40" s="32"/>
      <x:c r="K40" s="32"/>
      <x:c r="L40" s="32"/>
      <x:c r="M40" s="32"/>
    </x:row>
    <x:row r="41">
      <x:c r="A41" s="32"/>
      <x:c r="B41" s="32"/>
      <x:c r="C41" s="32"/>
      <x:c r="D41" s="32"/>
      <x:c r="E41" s="32"/>
      <x:c r="F41" s="32"/>
      <x:c r="G41" s="32"/>
      <x:c r="H41" s="32"/>
      <x:c r="I41" s="32"/>
      <x:c r="J41" s="32"/>
      <x:c r="K41" s="32"/>
      <x:c r="L41" s="32"/>
      <x:c r="M41" s="32"/>
    </x:row>
    <x:row r="42">
      <x:c r="A42" s="32"/>
      <x:c r="B42" s="32"/>
      <x:c r="C42" s="32"/>
      <x:c r="D42" s="32"/>
      <x:c r="E42" s="32"/>
      <x:c r="F42" s="32"/>
      <x:c r="G42" s="32"/>
      <x:c r="H42" s="32"/>
      <x:c r="I42" s="32"/>
      <x:c r="J42" s="32"/>
      <x:c r="K42" s="32"/>
      <x:c r="L42" s="32"/>
      <x:c r="M42" s="32"/>
    </x:row>
    <x:row r="43">
      <x:c r="A43" s="32"/>
      <x:c r="B43" s="32"/>
      <x:c r="C43" s="32"/>
      <x:c r="D43" s="32"/>
      <x:c r="E43" s="32"/>
      <x:c r="F43" s="32"/>
      <x:c r="G43" s="32"/>
      <x:c r="H43" s="32"/>
      <x:c r="I43" s="32"/>
      <x:c r="J43" s="32"/>
      <x:c r="K43" s="32"/>
      <x:c r="L43" s="32"/>
      <x:c r="M43" s="32"/>
    </x:row>
    <x:row r="44">
      <x:c r="A44" s="32"/>
      <x:c r="B44" s="32"/>
      <x:c r="C44" s="32"/>
      <x:c r="D44" s="32"/>
      <x:c r="E44" s="32"/>
      <x:c r="F44" s="32"/>
      <x:c r="G44" s="32"/>
      <x:c r="H44" s="32"/>
      <x:c r="I44" s="32"/>
      <x:c r="J44" s="32"/>
      <x:c r="K44" s="32"/>
      <x:c r="L44" s="32"/>
      <x:c r="M44" s="32"/>
    </x:row>
    <x:row r="45">
      <x:c r="A45" s="32"/>
      <x:c r="B45" s="32"/>
      <x:c r="C45" s="32"/>
      <x:c r="D45" s="32"/>
      <x:c r="E45" s="32"/>
      <x:c r="F45" s="32"/>
      <x:c r="G45" s="32"/>
      <x:c r="H45" s="32"/>
      <x:c r="I45" s="32"/>
      <x:c r="J45" s="32"/>
      <x:c r="K45" s="32"/>
      <x:c r="L45" s="32"/>
      <x:c r="M45" s="32"/>
    </x:row>
    <x:row r="46">
      <x:c r="A46" s="32"/>
      <x:c r="B46" s="32"/>
      <x:c r="C46" s="32"/>
      <x:c r="D46" s="32"/>
      <x:c r="E46" s="32"/>
      <x:c r="F46" s="32"/>
      <x:c r="G46" s="32"/>
      <x:c r="H46" s="32"/>
      <x:c r="I46" s="32"/>
      <x:c r="J46" s="32"/>
      <x:c r="K46" s="32"/>
      <x:c r="L46" s="32"/>
      <x:c r="M46" s="32"/>
    </x:row>
    <x:row r="47">
      <x:c r="A47" s="32"/>
      <x:c r="B47" s="32"/>
      <x:c r="C47" s="32"/>
      <x:c r="D47" s="32"/>
      <x:c r="E47" s="32"/>
      <x:c r="F47" s="32"/>
      <x:c r="G47" s="32"/>
      <x:c r="H47" s="32"/>
      <x:c r="I47" s="32"/>
      <x:c r="J47" s="32"/>
      <x:c r="K47" s="32"/>
      <x:c r="L47" s="32"/>
      <x:c r="M47" s="32"/>
    </x:row>
    <x:row r="48">
      <x:c r="A48" s="32"/>
      <x:c r="B48" s="32"/>
      <x:c r="C48" s="32"/>
      <x:c r="D48" s="32"/>
      <x:c r="E48" s="32"/>
      <x:c r="F48" s="32"/>
      <x:c r="G48" s="32"/>
      <x:c r="H48" s="32"/>
      <x:c r="I48" s="32"/>
      <x:c r="J48" s="32"/>
      <x:c r="K48" s="32"/>
      <x:c r="L48" s="32"/>
      <x:c r="M48" s="32"/>
    </x:row>
  </x:sheetData>
  <x:mergeCells>
    <x:mergeCell ref="A1:H1"/>
    <x:mergeCell ref="D3:H3"/>
    <x:mergeCell ref="G3:J3"/>
    <x:mergeCell ref="D13:E13"/>
    <x:mergeCell ref="G10:J10"/>
    <x:mergeCell ref="G18:J18"/>
    <x:mergeCell ref="J3:M3"/>
    <x:mergeCell ref="A1:M1"/>
    <x:mergeCell ref="A2:M2"/>
    <x:mergeCell ref="A4:C4"/>
    <x:mergeCell ref="D4:F4"/>
    <x:mergeCell ref="G4:I4"/>
    <x:mergeCell ref="J4:M4"/>
    <x:mergeCell ref="A14:F14"/>
    <x:mergeCell ref="G14:M14"/>
    <x:mergeCell ref="A22:F22"/>
    <x:mergeCell ref="G22:M22"/>
  </x:mergeCells>
  <x:conditionalFormatting sqref="M16:M19">
    <x:cfRule type="expression" dxfId="13" priority="1">
      <x:formula>M16="НЕ ХВАТАЕТ"</x:formula>
    </x:cfRule>
    <x:cfRule type="expression" dxfId="14" priority="2">
      <x:formula>M16="ХВАТАЕТ"</x:formula>
    </x:cfRule>
  </x:conditionalFormatting>
  <x:dataValidations count="2">
    <x:dataValidation type="list" sqref="B4">
      <x:formula1>"Консервативный,Базовый,Целевой"</x:formula1>
    </x:dataValidation>
    <x:dataValidation type="list" sqref="B5">
      <x:formula1>"Консервативный,Базовый,Целевой"</x:formula1>
    </x:dataValidation>
  </x:dataValidations>
  <x:pageMargins left="0.7" right="0.7" top="0.75" bottom="0.75" header="0.3" footer="0.3"/>
  <x:drawing xmlns:r="http://schemas.openxmlformats.org/officeDocument/2006/relationships" r:id="R31a1da01f1b341ef"/>
</x:worksheet>
</file>

<file path=xl/worksheets/sheet2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38" hidden="0" customWidth="1"/>
    <x:col min="3" max="3" width="16" hidden="0" customWidth="1"/>
    <x:col min="4" max="4" width="16" hidden="0" customWidth="1"/>
    <x:col min="5" max="5" width="16" hidden="0" customWidth="1"/>
    <x:col min="6" max="6" width="10" hidden="0" customWidth="1"/>
    <x:col min="7" max="7" width="30" hidden="0" customWidth="1"/>
    <x:col min="8" max="8" width="12" hidden="0" customWidth="1"/>
    <x:col min="10" max="10" width="38" hidden="0" customWidth="1"/>
    <x:col min="11" max="11" width="18" hidden="0" customWidth="1"/>
    <x:col min="12" max="12" width="30" hidden="0" customWidth="1"/>
  </x:cols>
  <x:sheetData>
    <x:row r="1" ht="26" customHeight="1">
      <x:c r="A1" s="40" t="str">
        <x:v>Допущения и источники</x:v>
      </x:c>
      <x:c r="B1" s="40"/>
      <x:c r="C1" s="40"/>
      <x:c r="D1" s="40"/>
      <x:c r="E1" s="40"/>
      <x:c r="F1" s="40"/>
      <x:c r="G1" s="40"/>
      <x:c r="H1" s="40"/>
      <x:c r="I1" s="41"/>
      <x:c r="J1" s="44" t="str">
        <x:v>Живые параметры</x:v>
      </x:c>
      <x:c r="K1" s="44"/>
      <x:c r="L1" s="44"/>
      <x:c r="M1" s="41"/>
      <x:c r="N1" s="41"/>
      <x:c r="O1" s="41"/>
      <x:c r="P1" s="41"/>
      <x:c r="Q1" s="41"/>
      <x:c r="R1" s="41"/>
      <x:c r="S1" s="41"/>
      <x:c r="T1" s="41"/>
      <x:c r="U1" s="41"/>
      <x:c r="V1" s="41"/>
      <x:c r="W1" s="41"/>
      <x:c r="X1" s="41"/>
      <x:c r="Y1" s="41"/>
      <x:c r="Z1" s="41"/>
      <x:c r="AA1" s="41"/>
      <x:c r="AB1" s="41"/>
      <x:c r="AC1" s="41"/>
      <x:c r="AD1" s="41"/>
      <x:c r="AE1" s="41"/>
      <x:c r="AF1" s="41"/>
      <x:c r="AG1" s="41"/>
      <x:c r="AH1" s="41"/>
      <x:c r="AI1" s="41"/>
      <x:c r="AJ1" s="41"/>
      <x:c r="AK1" s="41"/>
    </x:row>
    <x:row r="2">
      <x:c r="N2" t="str">
        <x:v>Индекс сценария</x:v>
      </x:c>
      <x:c r="O2" t="n">
        <x:f>IF('Обзор'!B5="Консервативный",1,IF('Обзор'!B5="Базовый",2,3))</x:f>
        <x:v>2</x:v>
      </x:c>
    </x:row>
    <x:row r="3" ht="28" customHeight="1">
      <x:c r="A3" s="12" t="str">
        <x:v>Код</x:v>
      </x:c>
      <x:c r="B3" s="12" t="str">
        <x:v>Параметр</x:v>
      </x:c>
      <x:c r="C3" s="12" t="str">
        <x:v>Консервативный</x:v>
      </x:c>
      <x:c r="D3" s="12" t="str">
        <x:v>Базовый</x:v>
      </x:c>
      <x:c r="E3" s="12" t="str">
        <x:v>Целевой</x:v>
      </x:c>
      <x:c r="F3" s="12" t="str">
        <x:v>Ед.</x:v>
      </x:c>
      <x:c r="G3" s="12" t="str">
        <x:v>Источник / статус</x:v>
      </x:c>
      <x:c r="H3" s="12" t="str">
        <x:v>Дата</x:v>
      </x:c>
      <x:c r="J3" s="12" t="str">
        <x:v>Параметр</x:v>
      </x:c>
      <x:c r="K3" s="12" t="str">
        <x:v>Значение</x:v>
      </x:c>
      <x:c r="L3" s="12" t="str">
        <x:v>Источник</x:v>
      </x:c>
    </x:row>
    <x:row r="4">
      <x:c r="A4" t="str">
        <x:v>scenario_switch</x:v>
      </x:c>
      <x:c r="B4" t="str">
        <x:v>Переключатель сценария</x:v>
      </x:c>
      <x:c r="C4" s="51" t="n">
        <x:v>1</x:v>
      </x:c>
      <x:c r="D4" s="51" t="n">
        <x:v>2</x:v>
      </x:c>
      <x:c r="E4" s="51" t="n">
        <x:v>3</x:v>
      </x:c>
      <x:c r="F4" t="str">
        <x:v>1/2/3</x:v>
      </x:c>
      <x:c r="G4" t="str">
        <x:v>Допущение основателя</x:v>
      </x:c>
      <x:c r="H4" t="str">
        <x:v>02.10.2026</x:v>
      </x:c>
      <x:c r="J4" t="str">
        <x:v>Переключатель сценария</x:v>
      </x:c>
      <x:c r="K4" s="26" t="n">
        <x:f>CHOOSE($O$2,C4,D4,E4)</x:f>
        <x:v>2</x:v>
      </x:c>
      <x:c r="L4" t="str">
        <x:v>Допущение основателя</x:v>
      </x:c>
    </x:row>
    <x:row r="5">
      <x:c r="A5" t="str">
        <x:v>audit_to_opt</x:v>
      </x:c>
      <x:c r="B5" t="str">
        <x:v>Конверсия аудит → оптимизация</x:v>
      </x:c>
      <x:c r="C5" s="58" t="n">
        <x:v>0.45</x:v>
      </x:c>
      <x:c r="D5" s="58" t="n">
        <x:v>0.55</x:v>
      </x:c>
      <x:c r="E5" s="58" t="n">
        <x:v>0.65</x:v>
      </x:c>
      <x:c r="F5" t="str">
        <x:v>%</x:v>
      </x:c>
      <x:c r="G5" t="str">
        <x:v>Гипотеза, требует валидации</x:v>
      </x:c>
      <x:c r="H5" t="str">
        <x:v>02.10.2026</x:v>
      </x:c>
      <x:c r="J5" t="str">
        <x:v>Конверсия аудит → оптимизация</x:v>
      </x:c>
      <x:c r="K5" s="26" t="n">
        <x:f>CHOOSE($O$2,C5,D5,E5)</x:f>
        <x:v>0.55</x:v>
      </x:c>
      <x:c r="L5" t="str">
        <x:v>Гипотеза, требует валидации</x:v>
      </x:c>
    </x:row>
    <x:row r="6">
      <x:c r="A6" t="str">
        <x:v>opt_to_core</x:v>
      </x:c>
      <x:c r="B6" t="str">
        <x:v>Конверсия оптимизация → Ядро QORSYS</x:v>
      </x:c>
      <x:c r="C6" s="58" t="n">
        <x:v>0.7</x:v>
      </x:c>
      <x:c r="D6" s="58" t="n">
        <x:v>0.8</x:v>
      </x:c>
      <x:c r="E6" s="58" t="n">
        <x:v>0.8</x:v>
      </x:c>
      <x:c r="F6" t="str">
        <x:v>%</x:v>
      </x:c>
      <x:c r="G6" t="str">
        <x:v>Гипотеза, требует валидации</x:v>
      </x:c>
      <x:c r="H6" t="str">
        <x:v>02.10.2026</x:v>
      </x:c>
      <x:c r="J6" t="str">
        <x:v>Конверсия оптимизация → Ядро QORSYS</x:v>
      </x:c>
      <x:c r="K6" s="26" t="n">
        <x:f>CHOOSE($O$2,C6,D6,E6)</x:f>
        <x:v>0.8</x:v>
      </x:c>
      <x:c r="L6" t="str">
        <x:v>Гипотеза, требует валидации</x:v>
      </x:c>
    </x:row>
    <x:row r="7">
      <x:c r="A7" t="str">
        <x:v>monthly_churn</x:v>
      </x:c>
      <x:c r="B7" t="str">
        <x:v>Ежемесячный отток клиентов Ядра QORSYS</x:v>
      </x:c>
      <x:c r="C7" s="58" t="n">
        <x:v>0.015</x:v>
      </x:c>
      <x:c r="D7" s="58" t="n">
        <x:v>0.01</x:v>
      </x:c>
      <x:c r="E7" s="58" t="n">
        <x:v>0.005</x:v>
      </x:c>
      <x:c r="F7" t="str">
        <x:v>%</x:v>
      </x:c>
      <x:c r="G7" t="str">
        <x:v>Гипотеза, требует валидации</x:v>
      </x:c>
      <x:c r="H7" t="str">
        <x:v>02.10.2026</x:v>
      </x:c>
      <x:c r="J7" t="str">
        <x:v>Ежемесячный отток клиентов Ядра QORSYS</x:v>
      </x:c>
      <x:c r="K7" s="26" t="n">
        <x:f>CHOOSE($O$2,C7,D7,E7)</x:f>
        <x:v>0.01</x:v>
      </x:c>
      <x:c r="L7" t="str">
        <x:v>Гипотеза, требует валидации</x:v>
      </x:c>
    </x:row>
    <x:row r="8">
      <x:c r="A8" t="str">
        <x:v>core_price</x:v>
      </x:c>
      <x:c r="B8" t="str">
        <x:v>Лицензия Ядра QORSYS / мес.</x:v>
      </x:c>
      <x:c r="C8" s="59" t="n">
        <x:v>225000</x:v>
      </x:c>
      <x:c r="D8" s="59" t="n">
        <x:v>250000</x:v>
      </x:c>
      <x:c r="E8" s="59" t="n">
        <x:v>250000</x:v>
      </x:c>
      <x:c r="F8" t="str">
        <x:v>₽</x:v>
      </x:c>
      <x:c r="G8" t="str">
        <x:v>Ценовая гипотеза QORSYS</x:v>
      </x:c>
      <x:c r="H8" t="str">
        <x:v>02.10.2026</x:v>
      </x:c>
      <x:c r="J8" t="str">
        <x:v>Лицензия Ядра QORSYS / мес.</x:v>
      </x:c>
      <x:c r="K8" s="26" t="n">
        <x:f>CHOOSE($O$2,C8,D8,E8)</x:f>
        <x:v>250000</x:v>
      </x:c>
      <x:c r="L8" t="str">
        <x:v>Ценовая гипотеза QORSYS</x:v>
      </x:c>
    </x:row>
    <x:row r="9">
      <x:c r="A9" t="str">
        <x:v>opt_fee</x:v>
      </x:c>
      <x:c r="B9" t="str">
        <x:v>Средний чек оптимизации</x:v>
      </x:c>
      <x:c r="C9" s="59" t="n">
        <x:v>1200000</x:v>
      </x:c>
      <x:c r="D9" s="59" t="n">
        <x:v>1500000</x:v>
      </x:c>
      <x:c r="E9" s="59" t="n">
        <x:v>1800000</x:v>
      </x:c>
      <x:c r="F9" t="str">
        <x:v>₽</x:v>
      </x:c>
      <x:c r="G9" t="str">
        <x:v>Ценовая гипотеза QORSYS</x:v>
      </x:c>
      <x:c r="H9" t="str">
        <x:v>02.10.2026</x:v>
      </x:c>
      <x:c r="J9" t="str">
        <x:v>Средний чек оптимизации</x:v>
      </x:c>
      <x:c r="K9" s="26" t="n">
        <x:f>CHOOSE($O$2,C9,D9,E9)</x:f>
        <x:v>1500000</x:v>
      </x:c>
      <x:c r="L9" t="str">
        <x:v>Ценовая гипотеза QORSYS</x:v>
      </x:c>
    </x:row>
    <x:row r="10">
      <x:c r="A10" t="str">
        <x:v>audit_cost</x:v>
      </x:c>
      <x:c r="B10" t="str">
        <x:v>Себестоимость аудита M1–M6</x:v>
      </x:c>
      <x:c r="C10" s="59" t="n">
        <x:v>200000</x:v>
      </x:c>
      <x:c r="D10" s="59" t="n">
        <x:v>180000</x:v>
      </x:c>
      <x:c r="E10" s="59" t="n">
        <x:v>150000</x:v>
      </x:c>
      <x:c r="F10" t="str">
        <x:v>₽</x:v>
      </x:c>
      <x:c r="G10" t="str">
        <x:v>Целевая внутренняя метрика</x:v>
      </x:c>
      <x:c r="H10" t="str">
        <x:v>02.10.2026</x:v>
      </x:c>
      <x:c r="J10" t="str">
        <x:v>Себестоимость аудита M1–M6</x:v>
      </x:c>
      <x:c r="K10" s="26" t="n">
        <x:f>CHOOSE($O$2,C10,D10,E10)</x:f>
        <x:v>180000</x:v>
      </x:c>
      <x:c r="L10" t="str">
        <x:v>Целевая внутренняя метрика</x:v>
      </x:c>
    </x:row>
    <x:row r="11">
      <x:c r="A11" t="str">
        <x:v>audit_learning</x:v>
      </x:c>
      <x:c r="B11" t="str">
        <x:v>Снижение себестоимости аудита за квартал</x:v>
      </x:c>
      <x:c r="C11" s="59" t="n">
        <x:v>0.05</x:v>
      </x:c>
      <x:c r="D11" s="59" t="n">
        <x:v>0.08</x:v>
      </x:c>
      <x:c r="E11" s="59" t="n">
        <x:v>0.1</x:v>
      </x:c>
      <x:c r="F11" t="str">
        <x:v>%</x:v>
      </x:c>
      <x:c r="G11" t="str">
        <x:v>Гипотеза масштаба</x:v>
      </x:c>
      <x:c r="H11" t="str">
        <x:v>02.10.2026</x:v>
      </x:c>
      <x:c r="J11" t="str">
        <x:v>Снижение себестоимости аудита за квартал</x:v>
      </x:c>
      <x:c r="K11" s="26" t="n">
        <x:f>CHOOSE($O$2,C11,D11,E11)</x:f>
        <x:v>0.08</x:v>
      </x:c>
      <x:c r="L11" t="str">
        <x:v>Гипотеза масштаба</x:v>
      </x:c>
    </x:row>
    <x:row r="12">
      <x:c r="A12" t="str">
        <x:v>success_fee_revenue</x:v>
      </x:c>
      <x:c r="B12" t="str">
        <x:v>Вознаграждение за эффект на клиента / мес.</x:v>
      </x:c>
      <x:c r="C12" s="59" t="n">
        <x:v>0</x:v>
      </x:c>
      <x:c r="D12" s="59" t="n">
        <x:v>0</x:v>
      </x:c>
      <x:c r="E12" s="59" t="n">
        <x:v>0</x:v>
      </x:c>
      <x:c r="F12" t="str">
        <x:v>₽</x:v>
      </x:c>
      <x:c r="G12" t="str">
        <x:v>Не включён в базовую модель</x:v>
      </x:c>
      <x:c r="H12" t="str">
        <x:v>02.10.2026</x:v>
      </x:c>
      <x:c r="J12" t="str">
        <x:v>Вознаграждение за эффект на клиента / мес.</x:v>
      </x:c>
      <x:c r="K12" s="26" t="n">
        <x:f>CHOOSE($O$2,C12,D12,E12)</x:f>
        <x:v>0</x:v>
      </x:c>
      <x:c r="L12" t="str">
        <x:v>Не включён в базовую модель</x:v>
      </x:c>
    </x:row>
    <x:row r="13">
      <x:c r="A13" t="str">
        <x:v>module_revenue</x:v>
      </x:c>
      <x:c r="B13" t="str">
        <x:v>Доход модулей на клиента / мес.</x:v>
      </x:c>
      <x:c r="C13" s="59" t="n">
        <x:v>0</x:v>
      </x:c>
      <x:c r="D13" s="59" t="n">
        <x:v>0</x:v>
      </x:c>
      <x:c r="E13" s="59" t="n">
        <x:v>0</x:v>
      </x:c>
      <x:c r="F13" t="str">
        <x:v>₽</x:v>
      </x:c>
      <x:c r="G13" t="str">
        <x:v>Не включён в базовую модель</x:v>
      </x:c>
      <x:c r="H13" t="str">
        <x:v>02.10.2026</x:v>
      </x:c>
      <x:c r="J13" t="str">
        <x:v>Доход модулей на клиента / мес.</x:v>
      </x:c>
      <x:c r="K13" s="26" t="n">
        <x:f>CHOOSE($O$2,C13,D13,E13)</x:f>
        <x:v>0</x:v>
      </x:c>
      <x:c r="L13" t="str">
        <x:v>Не включён в базовую модель</x:v>
      </x:c>
    </x:row>
    <x:row r="14">
      <x:c r="A14" t="str">
        <x:v>initial_cash</x:v>
      </x:c>
      <x:c r="B14" t="str">
        <x:v>Денежные средства до раунда</x:v>
      </x:c>
      <x:c r="C14" s="59" t="n">
        <x:v>0</x:v>
      </x:c>
      <x:c r="D14" s="59" t="n">
        <x:v>0</x:v>
      </x:c>
      <x:c r="E14" s="59" t="n">
        <x:v>0</x:v>
      </x:c>
      <x:c r="F14" t="str">
        <x:v>₽</x:v>
      </x:c>
      <x:c r="G14" t="str">
        <x:v>Допущение основателя</x:v>
      </x:c>
      <x:c r="H14" t="str">
        <x:v>02.10.2026</x:v>
      </x:c>
      <x:c r="J14" t="str">
        <x:v>Денежные средства до раунда</x:v>
      </x:c>
      <x:c r="K14" s="26" t="n">
        <x:f>CHOOSE($O$2,C14,D14,E14)</x:f>
        <x:v>0</x:v>
      </x:c>
      <x:c r="L14" t="str">
        <x:v>Допущение основателя</x:v>
      </x:c>
    </x:row>
    <x:row r="15">
      <x:c r="A15" t="str">
        <x:v>round_amount</x:v>
      </x:c>
      <x:c r="B15" t="str">
        <x:v>Pre-seed раунд M1</x:v>
      </x:c>
      <x:c r="C15" s="59" t="n">
        <x:v>15000000</x:v>
      </x:c>
      <x:c r="D15" s="59" t="n">
        <x:v>15000000</x:v>
      </x:c>
      <x:c r="E15" s="59" t="n">
        <x:v>15000000</x:v>
      </x:c>
      <x:c r="F15" t="str">
        <x:v>₽</x:v>
      </x:c>
      <x:c r="G15" t="str">
        <x:v>Условия текущего раунда</x:v>
      </x:c>
      <x:c r="H15" t="str">
        <x:v>02.10.2026</x:v>
      </x:c>
      <x:c r="J15" t="str">
        <x:v>Pre-seed раунд M1</x:v>
      </x:c>
      <x:c r="K15" s="26" t="n">
        <x:f>CHOOSE($O$2,C15,D15,E15)</x:f>
        <x:v>15000000</x:v>
      </x:c>
      <x:c r="L15" t="str">
        <x:v>Условия текущего раунда</x:v>
      </x:c>
    </x:row>
    <x:row r="16">
      <x:c r="A16" t="str">
        <x:v>tax_rate</x:v>
      </x:c>
      <x:c r="B16" t="str">
        <x:v>Налоговая нагрузка на прибыль</x:v>
      </x:c>
      <x:c r="C16" s="58" t="n">
        <x:v>0</x:v>
      </x:c>
      <x:c r="D16" s="58" t="n">
        <x:v>0</x:v>
      </x:c>
      <x:c r="E16" s="58" t="n">
        <x:v>0</x:v>
      </x:c>
      <x:c r="F16" t="str">
        <x:v>%</x:v>
      </x:c>
      <x:c r="G16" t="str">
        <x:v>Сценарная налоговая модель — см. лист «Налоги и господдержка»</x:v>
      </x:c>
      <x:c r="H16" t="str">
        <x:v>02.10.2026</x:v>
      </x:c>
      <x:c r="J16" t="str">
        <x:v>Налоговая нагрузка на прибыль</x:v>
      </x:c>
      <x:c r="K16" s="26" t="n">
        <x:f>CHOOSE($O$2,C16,D16,E16)</x:f>
        <x:v>0</x:v>
      </x:c>
      <x:c r="L16" t="str">
        <x:v>См. лист «Налоги и господдержка»</x:v>
      </x:c>
    </x:row>
    <x:row r="17">
      <x:c r="A17" t="str">
        <x:v>core_lag</x:v>
      </x:c>
      <x:c r="B17" t="str">
        <x:v>Лаг оптимизация → Ядро QORSYS</x:v>
      </x:c>
      <x:c r="C17" s="50" t="n">
        <x:v>1</x:v>
      </x:c>
      <x:c r="D17" s="50" t="n">
        <x:v>1</x:v>
      </x:c>
      <x:c r="E17" s="50" t="n">
        <x:v>0</x:v>
      </x:c>
      <x:c r="F17" t="str">
        <x:v>мес.</x:v>
      </x:c>
      <x:c r="G17" t="str">
        <x:v>Гипотеза сценария; target допускает переход в том же месяце</x:v>
      </x:c>
      <x:c r="H17" t="str">
        <x:v>02.10.2026</x:v>
      </x:c>
      <x:c r="J17" t="str">
        <x:v>Лаг оптимизация → Ядро QORSYS</x:v>
      </x:c>
      <x:c r="K17" s="26" t="n">
        <x:f>CHOOSE($O$2,C17,D17,E17)</x:f>
        <x:v>1</x:v>
      </x:c>
      <x:c r="L17" t="str">
        <x:v>Гипотеза сценария</x:v>
      </x:c>
    </x:row>
    <x:row r="18">
      <x:c r="A18" t="str">
        <x:v>opt_direct_cost</x:v>
      </x:c>
      <x:c r="B18" t="str">
        <x:v>Прямая себестоимость одной оптимизации</x:v>
      </x:c>
      <x:c r="C18" s="63" t="n">
        <x:v>450000</x:v>
      </x:c>
      <x:c r="D18" s="63" t="n">
        <x:v>350000</x:v>
      </x:c>
      <x:c r="E18" s="63" t="n">
        <x:v>300000</x:v>
      </x:c>
      <x:c r="F18" t="str">
        <x:v>₽</x:v>
      </x:c>
      <x:c r="G18" t="str">
        <x:v>Гипотеза, требует валидации</x:v>
      </x:c>
      <x:c r="H18" t="str">
        <x:v>02.10.2026</x:v>
      </x:c>
      <x:c r="J18" t="str">
        <x:v>Прямая себестоимость одной оптимизации</x:v>
      </x:c>
      <x:c r="K18" s="26" t="n">
        <x:f>CHOOSE($O$2,C18,D18,E18)</x:f>
        <x:v>350000</x:v>
      </x:c>
      <x:c r="L18" t="str">
        <x:v>Гипотеза, требует валидации</x:v>
      </x:c>
    </x:row>
    <x:row r="19">
      <x:c r="A19" t="str">
        <x:v>core_support_cost</x:v>
      </x:c>
      <x:c r="B19" t="str">
        <x:v>Прямая поддержка Ядра QORSYS на клиента / мес.</x:v>
      </x:c>
      <x:c r="C19" s="63" t="n">
        <x:v>30000</x:v>
      </x:c>
      <x:c r="D19" s="63" t="n">
        <x:v>25000</x:v>
      </x:c>
      <x:c r="E19" s="63" t="n">
        <x:v>20000</x:v>
      </x:c>
      <x:c r="F19" t="str">
        <x:v>₽</x:v>
      </x:c>
      <x:c r="G19" t="str">
        <x:v>Гипотеза, требует валидации</x:v>
      </x:c>
      <x:c r="H19" t="str">
        <x:v>02.10.2026</x:v>
      </x:c>
      <x:c r="J19" t="str">
        <x:v>Прямая поддержка Ядра QORSYS на клиента / мес.</x:v>
      </x:c>
      <x:c r="K19" s="26" t="n">
        <x:f>CHOOSE($O$2,C19,D19,E19)</x:f>
        <x:v>25000</x:v>
      </x:c>
      <x:c r="L19" t="str">
        <x:v>Гипотеза, требует валидации</x:v>
      </x:c>
    </x:row>
    <x:row r="20">
      <x:c r="A20" t="str">
        <x:v>infra_fixed</x:v>
      </x:c>
      <x:c r="B20" t="str">
        <x:v>Постоянная инфраструктура / мес.</x:v>
      </x:c>
      <x:c r="C20" s="63" t="n">
        <x:v>120000</x:v>
      </x:c>
      <x:c r="D20" s="63" t="n">
        <x:v>100000</x:v>
      </x:c>
      <x:c r="E20" s="63" t="n">
        <x:v>100000</x:v>
      </x:c>
      <x:c r="F20" t="str">
        <x:v>₽</x:v>
      </x:c>
      <x:c r="G20" t="str">
        <x:v>План WORKIT-26, требует валидации</x:v>
      </x:c>
      <x:c r="H20" t="str">
        <x:v>02.10.2026</x:v>
      </x:c>
      <x:c r="J20" t="str">
        <x:v>Постоянная инфраструктура / мес.</x:v>
      </x:c>
      <x:c r="K20" s="26" t="n">
        <x:f>CHOOSE($O$2,C20,D20,E20)</x:f>
        <x:v>100000</x:v>
      </x:c>
      <x:c r="L20" t="str">
        <x:v>План WORKIT-26, требует валидации</x:v>
      </x:c>
    </x:row>
    <x:row r="21">
      <x:c r="A21" t="str">
        <x:v>infra_per_client</x:v>
      </x:c>
      <x:c r="B21" t="str">
        <x:v>Переменная инфраструктура на клиента Ядра QORSYS / мес.</x:v>
      </x:c>
      <x:c r="C21" s="63" t="n">
        <x:v>25000</x:v>
      </x:c>
      <x:c r="D21" s="63" t="n">
        <x:v>20000</x:v>
      </x:c>
      <x:c r="E21" s="63" t="n">
        <x:v>18000</x:v>
      </x:c>
      <x:c r="F21" t="str">
        <x:v>₽</x:v>
      </x:c>
      <x:c r="G21" t="str">
        <x:v>Гипотеза, требует валидации</x:v>
      </x:c>
      <x:c r="H21" t="str">
        <x:v>02.10.2026</x:v>
      </x:c>
      <x:c r="J21" t="str">
        <x:v>Переменная инфраструктура на клиента Ядра QORSYS / мес.</x:v>
      </x:c>
      <x:c r="K21" s="26" t="n">
        <x:f>CHOOSE($O$2,C21,D21,E21)</x:f>
        <x:v>20000</x:v>
      </x:c>
      <x:c r="L21" t="str">
        <x:v>Гипотеза, требует валидации</x:v>
      </x:c>
    </x:row>
    <x:row r="22">
      <x:c r="A22" t="str">
        <x:v>sales_marketing_m1_3</x:v>
      </x:c>
      <x:c r="B22" t="str">
        <x:v>Продажи и маркетинг 1–3 месяц / мес.</x:v>
      </x:c>
      <x:c r="C22" s="63" t="n">
        <x:v>350000</x:v>
      </x:c>
      <x:c r="D22" s="63" t="n">
        <x:v>300000</x:v>
      </x:c>
      <x:c r="E22" s="63" t="n">
        <x:v>300000</x:v>
      </x:c>
      <x:c r="F22" t="str">
        <x:v>₽</x:v>
      </x:c>
      <x:c r="G22" t="str">
        <x:v>План, требует детализации</x:v>
      </x:c>
      <x:c r="H22" t="str">
        <x:v>02.10.2026</x:v>
      </x:c>
      <x:c r="J22" t="str">
        <x:v>Продажи и маркетинг 1–3 месяц / мес.</x:v>
      </x:c>
      <x:c r="K22" s="26" t="n">
        <x:f>CHOOSE($O$2,C22,D22,E22)</x:f>
        <x:v>300000</x:v>
      </x:c>
      <x:c r="L22" t="str">
        <x:v>План, требует детализации</x:v>
      </x:c>
    </x:row>
    <x:row r="23">
      <x:c r="A23" t="str">
        <x:v>sales_marketing_m4_plus</x:v>
      </x:c>
      <x:c r="B23" t="str">
        <x:v>Продажи и маркетинг с 4 месяца / мес.</x:v>
      </x:c>
      <x:c r="C23" s="63" t="n">
        <x:v>450000</x:v>
      </x:c>
      <x:c r="D23" s="63" t="n">
        <x:v>550000</x:v>
      </x:c>
      <x:c r="E23" s="63" t="n">
        <x:v>700000</x:v>
      </x:c>
      <x:c r="F23" t="str">
        <x:v>₽</x:v>
      </x:c>
      <x:c r="G23" t="str">
        <x:v>Гипотеза роста GTM</x:v>
      </x:c>
      <x:c r="H23" t="str">
        <x:v>02.10.2026</x:v>
      </x:c>
      <x:c r="J23" t="str">
        <x:v>Продажи и маркетинг с 4 месяца / мес.</x:v>
      </x:c>
      <x:c r="K23" s="26" t="n">
        <x:f>CHOOSE($O$2,C23,D23,E23)</x:f>
        <x:v>550000</x:v>
      </x:c>
      <x:c r="L23" t="str">
        <x:v>Гипотеза роста GTM</x:v>
      </x:c>
    </x:row>
    <x:row r="24">
      <x:c r="A24" t="str">
        <x:v>g_and_a</x:v>
      </x:c>
      <x:c r="B24" t="str">
        <x:v>Админ/юридические/прочие / мес.</x:v>
      </x:c>
      <x:c r="C24" s="63" t="n">
        <x:v>250000</x:v>
      </x:c>
      <x:c r="D24" s="63" t="n">
        <x:v>250000</x:v>
      </x:c>
      <x:c r="E24" s="63" t="n">
        <x:v>300000</x:v>
      </x:c>
      <x:c r="F24" t="str">
        <x:v>₽</x:v>
      </x:c>
      <x:c r="G24" t="str">
        <x:v>План WORKIT-26, требует детализации</x:v>
      </x:c>
      <x:c r="H24" t="str">
        <x:v>02.10.2026</x:v>
      </x:c>
      <x:c r="J24" t="str">
        <x:v>Админ/юридические/прочие / мес.</x:v>
      </x:c>
      <x:c r="K24" s="26" t="n">
        <x:f>CHOOSE($O$2,C24,D24,E24)</x:f>
        <x:v>250000</x:v>
      </x:c>
      <x:c r="L24" t="str">
        <x:v>План WORKIT-26, требует детализации</x:v>
      </x:c>
    </x:row>
    <x:row r="25">
      <x:c r="A25" t="str">
        <x:v>salary_escalation</x:v>
      </x:c>
      <x:c r="B25" t="str">
        <x:v>Годовая индексация ФОТ</x:v>
      </x:c>
      <x:c r="C25" s="64" t="n">
        <x:v>0.08</x:v>
      </x:c>
      <x:c r="D25" s="64" t="n">
        <x:v>0.1</x:v>
      </x:c>
      <x:c r="E25" s="64" t="n">
        <x:v>0.12</x:v>
      </x:c>
      <x:c r="F25" t="str">
        <x:v>%</x:v>
      </x:c>
      <x:c r="G25" t="str">
        <x:v>Гипотеза</x:v>
      </x:c>
      <x:c r="H25" t="str">
        <x:v>02.10.2026</x:v>
      </x:c>
      <x:c r="J25" t="str">
        <x:v>Годовая индексация ФОТ</x:v>
      </x:c>
      <x:c r="K25" s="26" t="n">
        <x:f>CHOOSE($O$2,C25,D25,E25)</x:f>
        <x:v>0.1</x:v>
      </x:c>
      <x:c r="L25" t="str">
        <x:v>Гипотеза</x:v>
      </x:c>
    </x:row>
    <x:row r="26">
      <x:c r="A26" t="str">
        <x:v>min_cash_reserve</x:v>
      </x:c>
      <x:c r="B26" t="str">
        <x:v>Минимальный денежный резерв</x:v>
      </x:c>
      <x:c r="C26" s="63" t="n">
        <x:v>2800000</x:v>
      </x:c>
      <x:c r="D26" s="63" t="n">
        <x:v>2800000</x:v>
      </x:c>
      <x:c r="E26" s="63" t="n">
        <x:v>2800000</x:v>
      </x:c>
      <x:c r="F26" t="str">
        <x:v>₽</x:v>
      </x:c>
      <x:c r="G26" t="str">
        <x:v>WORKIT-26</x:v>
      </x:c>
      <x:c r="H26" t="str">
        <x:v>02.10.2026</x:v>
      </x:c>
      <x:c r="J26" t="str">
        <x:v>Минимальный денежный резерв</x:v>
      </x:c>
      <x:c r="K26" s="26" t="n">
        <x:f>CHOOSE($O$2,C26,D26,E26)</x:f>
        <x:v>2800000</x:v>
      </x:c>
      <x:c r="L26" t="str">
        <x:v>WORKIT-26</x:v>
      </x:c>
    </x:row>
    <x:row r="27">
      <x:c r="A27" t="str">
        <x:v>collection_lag_core</x:v>
      </x:c>
      <x:c r="B27" t="str">
        <x:v>Лаг оплаты Ядра QORSYS</x:v>
      </x:c>
      <x:c r="C27" s="62" t="n">
        <x:v>0</x:v>
      </x:c>
      <x:c r="D27" s="62" t="n">
        <x:v>0</x:v>
      </x:c>
      <x:c r="E27" s="62" t="n">
        <x:v>0</x:v>
      </x:c>
      <x:c r="F27" t="str">
        <x:v>мес.</x:v>
      </x:c>
      <x:c r="G27" t="str">
        <x:v>Упрощение модели; требует проверки договорами</x:v>
      </x:c>
      <x:c r="H27" t="str">
        <x:v>02.10.2026</x:v>
      </x:c>
      <x:c r="J27" t="str">
        <x:v>Лаг оплаты Ядра QORSYS</x:v>
      </x:c>
      <x:c r="K27" s="26" t="n">
        <x:f>CHOOSE($O$2,C27,D27,E27)</x:f>
        <x:v>0</x:v>
      </x:c>
      <x:c r="L27" t="str">
        <x:v>Упрощение модели; требует проверки договорами</x:v>
      </x:c>
    </x:row>
    <x:row r="28">
      <x:c r="A28" t="str">
        <x:v>collection_lag_opt</x:v>
      </x:c>
      <x:c r="B28" t="str">
        <x:v>Лаг оплаты оптимизации</x:v>
      </x:c>
      <x:c r="C28" s="62" t="n">
        <x:v>0</x:v>
      </x:c>
      <x:c r="D28" s="62" t="n">
        <x:v>0</x:v>
      </x:c>
      <x:c r="E28" s="62" t="n">
        <x:v>0</x:v>
      </x:c>
      <x:c r="F28" t="str">
        <x:v>мес.</x:v>
      </x:c>
      <x:c r="G28" t="str">
        <x:v>Упрощение модели; требует проверки договорами</x:v>
      </x:c>
      <x:c r="H28" t="str">
        <x:v>02.10.2026</x:v>
      </x:c>
      <x:c r="J28" t="str">
        <x:v>Лаг оплаты оптимизации</x:v>
      </x:c>
      <x:c r="K28" s="26" t="n">
        <x:f>CHOOSE($O$2,C28,D28,E28)</x:f>
        <x:v>0</x:v>
      </x:c>
      <x:c r="L28" t="str">
        <x:v>Упрощение модели; требует проверки договорами</x:v>
      </x:c>
    </x:row>
    <x:row r="29">
      <x:c r="A29" t="str">
        <x:v>growth_t1</x:v>
      </x:c>
      <x:c r="B29" t="str">
        <x:v>Порог активных клиентов для роста команды 1</x:v>
      </x:c>
      <x:c r="C29" s="260" t="n">
        <x:v>10</x:v>
      </x:c>
      <x:c r="D29" s="260" t="n">
        <x:v>10</x:v>
      </x:c>
      <x:c r="E29" s="260" t="n">
        <x:v>10</x:v>
      </x:c>
      <x:c r="F29" t="str">
        <x:v>клиентов</x:v>
      </x:c>
      <x:c r="G29" t="str">
        <x:v>Допущение модели</x:v>
      </x:c>
      <x:c r="H29" t="str">
        <x:v>02.10.2026</x:v>
      </x:c>
      <x:c r="J29" t="str">
        <x:v>Порог активных клиентов для роста команды 1</x:v>
      </x:c>
      <x:c r="K29" s="26" t="n">
        <x:f>CHOOSE($O$2,C29,D29,E29)</x:f>
        <x:v>10</x:v>
      </x:c>
      <x:c r="L29" t="str">
        <x:v>Допущение модели</x:v>
      </x:c>
    </x:row>
    <x:row r="30">
      <x:c r="A30" t="str">
        <x:v>growth_c1</x:v>
      </x:c>
      <x:c r="B30" t="str">
        <x:v>Доп. команда при пороге 1 / мес.</x:v>
      </x:c>
      <x:c r="C30" s="226" t="n">
        <x:v>250000</x:v>
      </x:c>
      <x:c r="D30" s="226" t="n">
        <x:v>250000</x:v>
      </x:c>
      <x:c r="E30" s="226" t="n">
        <x:v>250000</x:v>
      </x:c>
      <x:c r="F30" t="str">
        <x:v>₽</x:v>
      </x:c>
      <x:c r="G30" t="str">
        <x:v>Допущение модели</x:v>
      </x:c>
      <x:c r="H30" t="str">
        <x:v>02.10.2026</x:v>
      </x:c>
      <x:c r="J30" t="str">
        <x:v>Доп. команда при пороге 1 / мес.</x:v>
      </x:c>
      <x:c r="K30" s="26" t="n">
        <x:f>CHOOSE($O$2,C30,D30,E30)</x:f>
        <x:v>250000</x:v>
      </x:c>
      <x:c r="L30" t="str">
        <x:v>Допущение модели</x:v>
      </x:c>
    </x:row>
    <x:row r="31">
      <x:c r="A31" t="str">
        <x:v>growth_t2</x:v>
      </x:c>
      <x:c r="B31" t="str">
        <x:v>Порог активных клиентов для роста команды 2</x:v>
      </x:c>
      <x:c r="C31" s="260" t="n">
        <x:v>25</x:v>
      </x:c>
      <x:c r="D31" s="260" t="n">
        <x:v>25</x:v>
      </x:c>
      <x:c r="E31" s="260" t="n">
        <x:v>25</x:v>
      </x:c>
      <x:c r="F31" t="str">
        <x:v>клиентов</x:v>
      </x:c>
      <x:c r="G31" t="str">
        <x:v>Допущение модели</x:v>
      </x:c>
      <x:c r="H31" t="str">
        <x:v>02.10.2026</x:v>
      </x:c>
      <x:c r="J31" t="str">
        <x:v>Порог активных клиентов для роста команды 2</x:v>
      </x:c>
      <x:c r="K31" s="26" t="n">
        <x:f>CHOOSE($O$2,C31,D31,E31)</x:f>
        <x:v>25</x:v>
      </x:c>
      <x:c r="L31" t="str">
        <x:v>Допущение модели</x:v>
      </x:c>
    </x:row>
    <x:row r="32">
      <x:c r="A32" t="str">
        <x:v>growth_c2</x:v>
      </x:c>
      <x:c r="B32" t="str">
        <x:v>Доп. команда при пороге 2 / мес.</x:v>
      </x:c>
      <x:c r="C32" s="226" t="n">
        <x:v>500000</x:v>
      </x:c>
      <x:c r="D32" s="226" t="n">
        <x:v>500000</x:v>
      </x:c>
      <x:c r="E32" s="226" t="n">
        <x:v>500000</x:v>
      </x:c>
      <x:c r="F32" t="str">
        <x:v>₽</x:v>
      </x:c>
      <x:c r="G32" t="str">
        <x:v>Допущение модели</x:v>
      </x:c>
      <x:c r="H32" t="str">
        <x:v>02.10.2026</x:v>
      </x:c>
      <x:c r="J32" t="str">
        <x:v>Доп. команда при пороге 2 / мес.</x:v>
      </x:c>
      <x:c r="K32" s="26" t="n">
        <x:f>CHOOSE($O$2,C32,D32,E32)</x:f>
        <x:v>500000</x:v>
      </x:c>
      <x:c r="L32" t="str">
        <x:v>Допущение модели</x:v>
      </x:c>
    </x:row>
    <x:row r="33">
      <x:c r="A33" t="str">
        <x:v>growth_t3</x:v>
      </x:c>
      <x:c r="B33" t="str">
        <x:v>Порог активных клиентов для роста команды 3</x:v>
      </x:c>
      <x:c r="C33" s="260" t="n">
        <x:v>50</x:v>
      </x:c>
      <x:c r="D33" s="260" t="n">
        <x:v>50</x:v>
      </x:c>
      <x:c r="E33" s="260" t="n">
        <x:v>50</x:v>
      </x:c>
      <x:c r="F33" t="str">
        <x:v>клиентов</x:v>
      </x:c>
      <x:c r="G33" t="str">
        <x:v>Допущение модели</x:v>
      </x:c>
      <x:c r="H33" t="str">
        <x:v>02.10.2026</x:v>
      </x:c>
      <x:c r="J33" t="str">
        <x:v>Порог активных клиентов для роста команды 3</x:v>
      </x:c>
      <x:c r="K33" s="26" t="n">
        <x:f>CHOOSE($O$2,C33,D33,E33)</x:f>
        <x:v>50</x:v>
      </x:c>
      <x:c r="L33" t="str">
        <x:v>Допущение модели</x:v>
      </x:c>
    </x:row>
    <x:row r="34">
      <x:c r="A34" t="str">
        <x:v>growth_c3</x:v>
      </x:c>
      <x:c r="B34" t="str">
        <x:v>Доп. команда при пороге 3 / мес.</x:v>
      </x:c>
      <x:c r="C34" s="226" t="n">
        <x:v>850000</x:v>
      </x:c>
      <x:c r="D34" s="226" t="n">
        <x:v>850000</x:v>
      </x:c>
      <x:c r="E34" s="226" t="n">
        <x:v>850000</x:v>
      </x:c>
      <x:c r="F34" t="str">
        <x:v>₽</x:v>
      </x:c>
      <x:c r="G34" t="str">
        <x:v>Допущение модели</x:v>
      </x:c>
      <x:c r="H34" t="str">
        <x:v>02.10.2026</x:v>
      </x:c>
      <x:c r="J34" t="str">
        <x:v>Доп. команда при пороге 3 / мес.</x:v>
      </x:c>
      <x:c r="K34" s="26" t="n">
        <x:f>CHOOSE($O$2,C34,D34,E34)</x:f>
        <x:v>850000</x:v>
      </x:c>
      <x:c r="L34" t="str">
        <x:v>Допущение модели</x:v>
      </x:c>
    </x:row>
    <x:row r="35">
      <x:c r="A35" t="str">
        <x:v>growth_t4</x:v>
      </x:c>
      <x:c r="B35" t="str">
        <x:v>Порог активных клиентов для роста команды 4</x:v>
      </x:c>
      <x:c r="C35" s="260" t="n">
        <x:v>100</x:v>
      </x:c>
      <x:c r="D35" s="260" t="n">
        <x:v>100</x:v>
      </x:c>
      <x:c r="E35" s="260" t="n">
        <x:v>100</x:v>
      </x:c>
      <x:c r="F35" t="str">
        <x:v>клиентов</x:v>
      </x:c>
      <x:c r="G35" t="str">
        <x:v>Допущение модели</x:v>
      </x:c>
      <x:c r="H35" t="str">
        <x:v>02.10.2026</x:v>
      </x:c>
      <x:c r="J35" t="str">
        <x:v>Порог активных клиентов для роста команды 4</x:v>
      </x:c>
      <x:c r="K35" s="26" t="n">
        <x:f>CHOOSE($O$2,C35,D35,E35)</x:f>
        <x:v>100</x:v>
      </x:c>
      <x:c r="L35" t="str">
        <x:v>Допущение модели</x:v>
      </x:c>
    </x:row>
    <x:row r="36">
      <x:c r="A36" t="str">
        <x:v>growth_c4</x:v>
      </x:c>
      <x:c r="B36" t="str">
        <x:v>Доп. команда при пороге 4 / мес.</x:v>
      </x:c>
      <x:c r="C36" s="226" t="n">
        <x:v>1500000</x:v>
      </x:c>
      <x:c r="D36" s="226" t="n">
        <x:v>1500000</x:v>
      </x:c>
      <x:c r="E36" s="226" t="n">
        <x:v>1500000</x:v>
      </x:c>
      <x:c r="F36" t="str">
        <x:v>₽</x:v>
      </x:c>
      <x:c r="G36" t="str">
        <x:v>Допущение модели</x:v>
      </x:c>
      <x:c r="H36" t="str">
        <x:v>02.10.2026</x:v>
      </x:c>
      <x:c r="J36" t="str">
        <x:v>Доп. команда при пороге 4 / мес.</x:v>
      </x:c>
      <x:c r="K36" s="26" t="n">
        <x:f>CHOOSE($O$2,C36,D36,E36)</x:f>
        <x:v>1500000</x:v>
      </x:c>
      <x:c r="L36" t="str">
        <x:v>Допущение модели</x:v>
      </x:c>
    </x:row>
  </x:sheetData>
  <x:mergeCells>
    <x:mergeCell ref="A1:H1"/>
    <x:mergeCell ref="J1:L1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8" hidden="0" customWidth="1"/>
    <x:col min="3" max="3" width="8" hidden="0" customWidth="1"/>
    <x:col min="4" max="4" width="8" hidden="0" customWidth="1"/>
    <x:col min="5" max="5" width="8" hidden="0" customWidth="1"/>
    <x:col min="6" max="6" width="8" hidden="0" customWidth="1"/>
    <x:col min="7" max="7" width="8" hidden="0" customWidth="1"/>
    <x:col min="8" max="8" width="8" hidden="0" customWidth="1"/>
    <x:col min="9" max="9" width="8" hidden="0" customWidth="1"/>
    <x:col min="10" max="10" width="8" hidden="0" customWidth="1"/>
    <x:col min="11" max="11" width="8" hidden="0" customWidth="1"/>
    <x:col min="12" max="12" width="8" hidden="0" customWidth="1"/>
    <x:col min="13" max="13" width="8" hidden="0" customWidth="1"/>
    <x:col min="14" max="14" width="8" hidden="0" customWidth="1"/>
    <x:col min="15" max="15" width="8" hidden="0" customWidth="1"/>
    <x:col min="16" max="16" width="8" hidden="0" customWidth="1"/>
    <x:col min="17" max="17" width="8" hidden="0" customWidth="1"/>
    <x:col min="18" max="18" width="8" hidden="0" customWidth="1"/>
    <x:col min="19" max="19" width="8" hidden="0" customWidth="1"/>
    <x:col min="20" max="20" width="8" hidden="0" customWidth="1"/>
    <x:col min="21" max="21" width="8" hidden="0" customWidth="1"/>
    <x:col min="22" max="22" width="8" hidden="0" customWidth="1"/>
    <x:col min="23" max="23" width="8" hidden="0" customWidth="1"/>
    <x:col min="24" max="24" width="8" hidden="0" customWidth="1"/>
    <x:col min="25" max="25" width="8" hidden="0" customWidth="1"/>
    <x:col min="26" max="26" width="8" hidden="0" customWidth="1"/>
    <x:col min="27" max="27" width="8" hidden="0" customWidth="1"/>
    <x:col min="28" max="28" width="8" hidden="0" customWidth="1"/>
    <x:col min="29" max="29" width="8" hidden="0" customWidth="1"/>
    <x:col min="30" max="30" width="8" hidden="0" customWidth="1"/>
    <x:col min="31" max="31" width="8" hidden="0" customWidth="1"/>
    <x:col min="32" max="32" width="8" hidden="0" customWidth="1"/>
    <x:col min="33" max="33" width="8" hidden="0" customWidth="1"/>
    <x:col min="34" max="34" width="8" hidden="0" customWidth="1"/>
    <x:col min="35" max="35" width="8" hidden="0" customWidth="1"/>
    <x:col min="36" max="36" width="8" hidden="0" customWidth="1"/>
    <x:col min="37" max="37" width="8" hidden="0" customWidth="1"/>
  </x:cols>
  <x:sheetData>
    <x:row r="1" ht="26" customHeight="1">
      <x:c r="A1" s="46" t="str">
        <x:v>План аудитов по сценариям — основной драйвер продаж</x:v>
      </x:c>
      <x:c r="B1" s="46"/>
      <x:c r="C1" s="46"/>
      <x:c r="D1" s="46"/>
      <x:c r="E1" s="46"/>
      <x:c r="F1" s="46"/>
      <x:c r="G1" s="46"/>
      <x:c r="H1" s="46"/>
      <x:c r="I1" s="46"/>
      <x:c r="J1" s="46"/>
      <x:c r="K1" s="46"/>
      <x:c r="L1" s="46"/>
      <x:c r="M1" s="46"/>
      <x:c r="N1" s="46"/>
      <x:c r="O1" s="46"/>
      <x:c r="P1" s="46"/>
      <x:c r="Q1" s="46"/>
      <x:c r="R1" s="46"/>
      <x:c r="S1" s="46"/>
      <x:c r="T1" s="46"/>
      <x:c r="U1" s="46"/>
      <x:c r="V1" s="46"/>
      <x:c r="W1" s="46"/>
      <x:c r="X1" s="46"/>
      <x:c r="Y1" s="46"/>
      <x:c r="Z1" s="46"/>
      <x:c r="AA1" s="46"/>
      <x:c r="AB1" s="46"/>
      <x:c r="AC1" s="46"/>
      <x:c r="AD1" s="46"/>
      <x:c r="AE1" s="46"/>
      <x:c r="AF1" s="46"/>
      <x:c r="AG1" s="46"/>
      <x:c r="AH1" s="46"/>
      <x:c r="AI1" s="46"/>
      <x:c r="AJ1" s="46"/>
      <x:c r="AK1" s="46"/>
      <x:c r="AL1" s="30"/>
    </x:row>
    <x:row r="3" ht="28" customHeight="1">
      <x:c r="A3" s="12" t="str">
        <x:v>Сценарий</x:v>
      </x:c>
      <x:c r="B3" s="12" t="str">
        <x:v>М1</x:v>
      </x:c>
      <x:c r="C3" s="12" t="str">
        <x:v>М2</x:v>
      </x:c>
      <x:c r="D3" s="12" t="str">
        <x:v>М3</x:v>
      </x:c>
      <x:c r="E3" s="12" t="str">
        <x:v>М4</x:v>
      </x:c>
      <x:c r="F3" s="12" t="str">
        <x:v>М5</x:v>
      </x:c>
      <x:c r="G3" s="12" t="str">
        <x:v>М6</x:v>
      </x:c>
      <x:c r="H3" s="12" t="str">
        <x:v>М7</x:v>
      </x:c>
      <x:c r="I3" s="12" t="str">
        <x:v>М8</x:v>
      </x:c>
      <x:c r="J3" s="12" t="str">
        <x:v>М9</x:v>
      </x:c>
      <x:c r="K3" s="12" t="str">
        <x:v>М10</x:v>
      </x:c>
      <x:c r="L3" s="12" t="str">
        <x:v>М11</x:v>
      </x:c>
      <x:c r="M3" s="12" t="str">
        <x:v>М12</x:v>
      </x:c>
      <x:c r="N3" s="12" t="str">
        <x:v>М13</x:v>
      </x:c>
      <x:c r="O3" s="12" t="str">
        <x:v>М14</x:v>
      </x:c>
      <x:c r="P3" s="12" t="str">
        <x:v>М15</x:v>
      </x:c>
      <x:c r="Q3" s="12" t="str">
        <x:v>М16</x:v>
      </x:c>
      <x:c r="R3" s="12" t="str">
        <x:v>М17</x:v>
      </x:c>
      <x:c r="S3" s="12" t="str">
        <x:v>М18</x:v>
      </x:c>
      <x:c r="T3" s="12" t="str">
        <x:v>М19</x:v>
      </x:c>
      <x:c r="U3" s="12" t="str">
        <x:v>М20</x:v>
      </x:c>
      <x:c r="V3" s="12" t="str">
        <x:v>М21</x:v>
      </x:c>
      <x:c r="W3" s="12" t="str">
        <x:v>М22</x:v>
      </x:c>
      <x:c r="X3" s="12" t="str">
        <x:v>М23</x:v>
      </x:c>
      <x:c r="Y3" s="12" t="str">
        <x:v>М24</x:v>
      </x:c>
      <x:c r="Z3" s="12" t="str">
        <x:v>М25</x:v>
      </x:c>
      <x:c r="AA3" s="12" t="str">
        <x:v>М26</x:v>
      </x:c>
      <x:c r="AB3" s="12" t="str">
        <x:v>М27</x:v>
      </x:c>
      <x:c r="AC3" s="12" t="str">
        <x:v>М28</x:v>
      </x:c>
      <x:c r="AD3" s="12" t="str">
        <x:v>М29</x:v>
      </x:c>
      <x:c r="AE3" s="12" t="str">
        <x:v>М30</x:v>
      </x:c>
      <x:c r="AF3" s="12" t="str">
        <x:v>М31</x:v>
      </x:c>
      <x:c r="AG3" s="12" t="str">
        <x:v>М32</x:v>
      </x:c>
      <x:c r="AH3" s="12" t="str">
        <x:v>М33</x:v>
      </x:c>
      <x:c r="AI3" s="12" t="str">
        <x:v>М34</x:v>
      </x:c>
      <x:c r="AJ3" s="12" t="str">
        <x:v>М35</x:v>
      </x:c>
      <x:c r="AK3" s="12" t="str">
        <x:v>М36</x:v>
      </x:c>
    </x:row>
    <x:row r="4">
      <x:c r="A4" t="str">
        <x:v>Консервативный</x:v>
      </x:c>
      <x:c r="B4" s="51" t="n">
        <x:v>1</x:v>
      </x:c>
      <x:c r="C4" s="51" t="n">
        <x:v>2</x:v>
      </x:c>
      <x:c r="D4" s="51" t="n">
        <x:v>2</x:v>
      </x:c>
      <x:c r="E4" s="51" t="n">
        <x:v>2</x:v>
      </x:c>
      <x:c r="F4" s="51" t="n">
        <x:v>3</x:v>
      </x:c>
      <x:c r="G4" s="51" t="n">
        <x:v>1</x:v>
      </x:c>
      <x:c r="H4" s="51" t="n">
        <x:v>3</x:v>
      </x:c>
      <x:c r="I4" s="51" t="n">
        <x:v>3</x:v>
      </x:c>
      <x:c r="J4" s="51" t="n">
        <x:v>3</x:v>
      </x:c>
      <x:c r="K4" s="51" t="n">
        <x:v>3</x:v>
      </x:c>
      <x:c r="L4" s="51" t="n">
        <x:v>3</x:v>
      </x:c>
      <x:c r="M4" s="51" t="n">
        <x:v>4</x:v>
      </x:c>
      <x:c r="N4" s="51" t="n">
        <x:v>4</x:v>
      </x:c>
      <x:c r="O4" s="51" t="n">
        <x:v>4</x:v>
      </x:c>
      <x:c r="P4" s="51" t="n">
        <x:v>4</x:v>
      </x:c>
      <x:c r="Q4" s="51" t="n">
        <x:v>4</x:v>
      </x:c>
      <x:c r="R4" s="51" t="n">
        <x:v>4</x:v>
      </x:c>
      <x:c r="S4" s="51" t="n">
        <x:v>4</x:v>
      </x:c>
      <x:c r="T4" s="51" t="n">
        <x:v>4</x:v>
      </x:c>
      <x:c r="U4" s="51" t="n">
        <x:v>4</x:v>
      </x:c>
      <x:c r="V4" s="51" t="n">
        <x:v>4</x:v>
      </x:c>
      <x:c r="W4" s="51" t="n">
        <x:v>4</x:v>
      </x:c>
      <x:c r="X4" s="51" t="n">
        <x:v>4</x:v>
      </x:c>
      <x:c r="Y4" s="51" t="n">
        <x:v>4</x:v>
      </x:c>
      <x:c r="Z4" s="51" t="n">
        <x:v>6</x:v>
      </x:c>
      <x:c r="AA4" s="51" t="n">
        <x:v>6</x:v>
      </x:c>
      <x:c r="AB4" s="51" t="n">
        <x:v>6</x:v>
      </x:c>
      <x:c r="AC4" s="51" t="n">
        <x:v>6</x:v>
      </x:c>
      <x:c r="AD4" s="51" t="n">
        <x:v>6</x:v>
      </x:c>
      <x:c r="AE4" s="51" t="n">
        <x:v>6</x:v>
      </x:c>
      <x:c r="AF4" s="51" t="n">
        <x:v>6</x:v>
      </x:c>
      <x:c r="AG4" s="51" t="n">
        <x:v>6</x:v>
      </x:c>
      <x:c r="AH4" s="51" t="n">
        <x:v>6</x:v>
      </x:c>
      <x:c r="AI4" s="51" t="n">
        <x:v>6</x:v>
      </x:c>
      <x:c r="AJ4" s="51" t="n">
        <x:v>6</x:v>
      </x:c>
      <x:c r="AK4" s="51" t="n">
        <x:v>6</x:v>
      </x:c>
    </x:row>
    <x:row r="5">
      <x:c r="A5" t="str">
        <x:v>Базовый</x:v>
      </x:c>
      <x:c r="B5" s="51" t="n">
        <x:v>2</x:v>
      </x:c>
      <x:c r="C5" s="51" t="n">
        <x:v>3</x:v>
      </x:c>
      <x:c r="D5" s="51" t="n">
        <x:v>3</x:v>
      </x:c>
      <x:c r="E5" s="51" t="n">
        <x:v>4</x:v>
      </x:c>
      <x:c r="F5" s="51" t="n">
        <x:v>4</x:v>
      </x:c>
      <x:c r="G5" s="51" t="n">
        <x:v>4</x:v>
      </x:c>
      <x:c r="H5" s="51" t="n">
        <x:v>5</x:v>
      </x:c>
      <x:c r="I5" s="51" t="n">
        <x:v>5</x:v>
      </x:c>
      <x:c r="J5" s="51" t="n">
        <x:v>5</x:v>
      </x:c>
      <x:c r="K5" s="51" t="n">
        <x:v>5</x:v>
      </x:c>
      <x:c r="L5" s="51" t="n">
        <x:v>5</x:v>
      </x:c>
      <x:c r="M5" s="51" t="n">
        <x:v>5</x:v>
      </x:c>
      <x:c r="N5" s="51" t="n">
        <x:v>6</x:v>
      </x:c>
      <x:c r="O5" s="51" t="n">
        <x:v>6</x:v>
      </x:c>
      <x:c r="P5" s="51" t="n">
        <x:v>6</x:v>
      </x:c>
      <x:c r="Q5" s="51" t="n">
        <x:v>6</x:v>
      </x:c>
      <x:c r="R5" s="51" t="n">
        <x:v>6</x:v>
      </x:c>
      <x:c r="S5" s="51" t="n">
        <x:v>6</x:v>
      </x:c>
      <x:c r="T5" s="51" t="n">
        <x:v>6</x:v>
      </x:c>
      <x:c r="U5" s="51" t="n">
        <x:v>6</x:v>
      </x:c>
      <x:c r="V5" s="51" t="n">
        <x:v>6</x:v>
      </x:c>
      <x:c r="W5" s="51" t="n">
        <x:v>6</x:v>
      </x:c>
      <x:c r="X5" s="51" t="n">
        <x:v>6</x:v>
      </x:c>
      <x:c r="Y5" s="51" t="n">
        <x:v>6</x:v>
      </x:c>
      <x:c r="Z5" s="51" t="n">
        <x:v>10</x:v>
      </x:c>
      <x:c r="AA5" s="51" t="n">
        <x:v>10</x:v>
      </x:c>
      <x:c r="AB5" s="51" t="n">
        <x:v>10</x:v>
      </x:c>
      <x:c r="AC5" s="51" t="n">
        <x:v>10</x:v>
      </x:c>
      <x:c r="AD5" s="51" t="n">
        <x:v>10</x:v>
      </x:c>
      <x:c r="AE5" s="51" t="n">
        <x:v>10</x:v>
      </x:c>
      <x:c r="AF5" s="51" t="n">
        <x:v>10</x:v>
      </x:c>
      <x:c r="AG5" s="51" t="n">
        <x:v>10</x:v>
      </x:c>
      <x:c r="AH5" s="51" t="n">
        <x:v>10</x:v>
      </x:c>
      <x:c r="AI5" s="51" t="n">
        <x:v>10</x:v>
      </x:c>
      <x:c r="AJ5" s="51" t="n">
        <x:v>10</x:v>
      </x:c>
      <x:c r="AK5" s="51" t="n">
        <x:v>10</x:v>
      </x:c>
    </x:row>
    <x:row r="6">
      <x:c r="A6" t="str">
        <x:v>Целевой</x:v>
      </x:c>
      <x:c r="B6" s="51" t="n">
        <x:v>2</x:v>
      </x:c>
      <x:c r="C6" s="51" t="n">
        <x:v>3</x:v>
      </x:c>
      <x:c r="D6" s="51" t="n">
        <x:v>3</x:v>
      </x:c>
      <x:c r="E6" s="51" t="n">
        <x:v>4</x:v>
      </x:c>
      <x:c r="F6" s="51" t="n">
        <x:v>4</x:v>
      </x:c>
      <x:c r="G6" s="51" t="n">
        <x:v>4</x:v>
      </x:c>
      <x:c r="H6" s="51" t="n">
        <x:v>6</x:v>
      </x:c>
      <x:c r="I6" s="51" t="n">
        <x:v>6</x:v>
      </x:c>
      <x:c r="J6" s="51" t="n">
        <x:v>6</x:v>
      </x:c>
      <x:c r="K6" s="51" t="n">
        <x:v>6</x:v>
      </x:c>
      <x:c r="L6" s="51" t="n">
        <x:v>5</x:v>
      </x:c>
      <x:c r="M6" s="51" t="n">
        <x:v>5</x:v>
      </x:c>
      <x:c r="N6" s="51" t="n">
        <x:v>8</x:v>
      </x:c>
      <x:c r="O6" s="51" t="n">
        <x:v>8</x:v>
      </x:c>
      <x:c r="P6" s="51" t="n">
        <x:v>8</x:v>
      </x:c>
      <x:c r="Q6" s="51" t="n">
        <x:v>8</x:v>
      </x:c>
      <x:c r="R6" s="51" t="n">
        <x:v>8</x:v>
      </x:c>
      <x:c r="S6" s="51" t="n">
        <x:v>8</x:v>
      </x:c>
      <x:c r="T6" s="51" t="n">
        <x:v>8</x:v>
      </x:c>
      <x:c r="U6" s="51" t="n">
        <x:v>8</x:v>
      </x:c>
      <x:c r="V6" s="51" t="n">
        <x:v>8</x:v>
      </x:c>
      <x:c r="W6" s="51" t="n">
        <x:v>8</x:v>
      </x:c>
      <x:c r="X6" s="51" t="n">
        <x:v>8</x:v>
      </x:c>
      <x:c r="Y6" s="51" t="n">
        <x:v>8</x:v>
      </x:c>
      <x:c r="Z6" s="51" t="n">
        <x:v>14</x:v>
      </x:c>
      <x:c r="AA6" s="51" t="n">
        <x:v>14</x:v>
      </x:c>
      <x:c r="AB6" s="51" t="n">
        <x:v>14</x:v>
      </x:c>
      <x:c r="AC6" s="51" t="n">
        <x:v>14</x:v>
      </x:c>
      <x:c r="AD6" s="51" t="n">
        <x:v>14</x:v>
      </x:c>
      <x:c r="AE6" s="51" t="n">
        <x:v>14</x:v>
      </x:c>
      <x:c r="AF6" s="51" t="n">
        <x:v>14</x:v>
      </x:c>
      <x:c r="AG6" s="51" t="n">
        <x:v>14</x:v>
      </x:c>
      <x:c r="AH6" s="51" t="n">
        <x:v>14</x:v>
      </x:c>
      <x:c r="AI6" s="51" t="n">
        <x:v>14</x:v>
      </x:c>
      <x:c r="AJ6" s="51" t="n">
        <x:v>14</x:v>
      </x:c>
      <x:c r="AK6" s="51" t="n">
        <x:v>14</x:v>
      </x:c>
    </x:row>
    <x:row r="8" ht="28" customHeight="1">
      <x:c r="A8" s="12" t="str">
        <x:v>Активный сценарий</x:v>
      </x:c>
      <x:c r="B8" s="12" t="str">
        <x:v>М1</x:v>
      </x:c>
      <x:c r="C8" s="12" t="str">
        <x:v>М2</x:v>
      </x:c>
      <x:c r="D8" s="12" t="str">
        <x:v>М3</x:v>
      </x:c>
      <x:c r="E8" s="12" t="str">
        <x:v>М4</x:v>
      </x:c>
      <x:c r="F8" s="12" t="str">
        <x:v>М5</x:v>
      </x:c>
      <x:c r="G8" s="12" t="str">
        <x:v>М6</x:v>
      </x:c>
      <x:c r="H8" s="12" t="str">
        <x:v>М7</x:v>
      </x:c>
      <x:c r="I8" s="12" t="str">
        <x:v>М8</x:v>
      </x:c>
      <x:c r="J8" s="12" t="str">
        <x:v>М9</x:v>
      </x:c>
      <x:c r="K8" s="12" t="str">
        <x:v>М10</x:v>
      </x:c>
      <x:c r="L8" s="12" t="str">
        <x:v>М11</x:v>
      </x:c>
      <x:c r="M8" s="12" t="str">
        <x:v>М12</x:v>
      </x:c>
      <x:c r="N8" s="12" t="str">
        <x:v>М13</x:v>
      </x:c>
      <x:c r="O8" s="12" t="str">
        <x:v>М14</x:v>
      </x:c>
      <x:c r="P8" s="12" t="str">
        <x:v>М15</x:v>
      </x:c>
      <x:c r="Q8" s="12" t="str">
        <x:v>М16</x:v>
      </x:c>
      <x:c r="R8" s="12" t="str">
        <x:v>М17</x:v>
      </x:c>
      <x:c r="S8" s="12" t="str">
        <x:v>М18</x:v>
      </x:c>
      <x:c r="T8" s="12" t="str">
        <x:v>М19</x:v>
      </x:c>
      <x:c r="U8" s="12" t="str">
        <x:v>М20</x:v>
      </x:c>
      <x:c r="V8" s="12" t="str">
        <x:v>М21</x:v>
      </x:c>
      <x:c r="W8" s="12" t="str">
        <x:v>М22</x:v>
      </x:c>
      <x:c r="X8" s="12" t="str">
        <x:v>М23</x:v>
      </x:c>
      <x:c r="Y8" s="12" t="str">
        <x:v>М24</x:v>
      </x:c>
      <x:c r="Z8" s="12" t="str">
        <x:v>М25</x:v>
      </x:c>
      <x:c r="AA8" s="12" t="str">
        <x:v>М26</x:v>
      </x:c>
      <x:c r="AB8" s="12" t="str">
        <x:v>М27</x:v>
      </x:c>
      <x:c r="AC8" s="12" t="str">
        <x:v>М28</x:v>
      </x:c>
      <x:c r="AD8" s="12" t="str">
        <x:v>М29</x:v>
      </x:c>
      <x:c r="AE8" s="12" t="str">
        <x:v>М30</x:v>
      </x:c>
      <x:c r="AF8" s="12" t="str">
        <x:v>М31</x:v>
      </x:c>
      <x:c r="AG8" s="12" t="str">
        <x:v>М32</x:v>
      </x:c>
      <x:c r="AH8" s="12" t="str">
        <x:v>М33</x:v>
      </x:c>
      <x:c r="AI8" s="12" t="str">
        <x:v>М34</x:v>
      </x:c>
      <x:c r="AJ8" s="12" t="str">
        <x:v>М35</x:v>
      </x:c>
      <x:c r="AK8" s="12" t="str">
        <x:v>М36</x:v>
      </x:c>
    </x:row>
    <x:row r="9">
      <x:c r="A9" t="str">
        <x:v>Аудиты</x:v>
      </x:c>
      <x:c r="B9" t="n">
        <x:f>CHOOSE('Допущения'!$O$2,B4,B5,B6)</x:f>
        <x:v>2</x:v>
      </x:c>
      <x:c r="C9" t="n">
        <x:f>CHOOSE('Допущения'!$O$2,C4,C5,C6)</x:f>
        <x:v>3</x:v>
      </x:c>
      <x:c r="D9" t="n">
        <x:f>CHOOSE('Допущения'!$O$2,D4,D5,D6)</x:f>
        <x:v>3</x:v>
      </x:c>
      <x:c r="E9" t="n">
        <x:f>CHOOSE('Допущения'!$O$2,E4,E5,E6)</x:f>
        <x:v>4</x:v>
      </x:c>
      <x:c r="F9" t="n">
        <x:f>CHOOSE('Допущения'!$O$2,F4,F5,F6)</x:f>
        <x:v>4</x:v>
      </x:c>
      <x:c r="G9" t="n">
        <x:f>CHOOSE('Допущения'!$O$2,G4,G5,G6)</x:f>
        <x:v>4</x:v>
      </x:c>
      <x:c r="H9" t="n">
        <x:f>CHOOSE('Допущения'!$O$2,H4,H5,H6)</x:f>
        <x:v>5</x:v>
      </x:c>
      <x:c r="I9" t="n">
        <x:f>CHOOSE('Допущения'!$O$2,I4,I5,I6)</x:f>
        <x:v>5</x:v>
      </x:c>
      <x:c r="J9" t="n">
        <x:f>CHOOSE('Допущения'!$O$2,J4,J5,J6)</x:f>
        <x:v>5</x:v>
      </x:c>
      <x:c r="K9" t="n">
        <x:f>CHOOSE('Допущения'!$O$2,K4,K5,K6)</x:f>
        <x:v>5</x:v>
      </x:c>
      <x:c r="L9" t="n">
        <x:f>CHOOSE('Допущения'!$O$2,L4,L5,L6)</x:f>
        <x:v>5</x:v>
      </x:c>
      <x:c r="M9" t="n">
        <x:f>CHOOSE('Допущения'!$O$2,M4,M5,M6)</x:f>
        <x:v>5</x:v>
      </x:c>
      <x:c r="N9" t="n">
        <x:f>CHOOSE('Допущения'!$O$2,N4,N5,N6)</x:f>
        <x:v>6</x:v>
      </x:c>
      <x:c r="O9" t="n">
        <x:f>CHOOSE('Допущения'!$O$2,O4,O5,O6)</x:f>
        <x:v>6</x:v>
      </x:c>
      <x:c r="P9" t="n">
        <x:f>CHOOSE('Допущения'!$O$2,P4,P5,P6)</x:f>
        <x:v>6</x:v>
      </x:c>
      <x:c r="Q9" t="n">
        <x:f>CHOOSE('Допущения'!$O$2,Q4,Q5,Q6)</x:f>
        <x:v>6</x:v>
      </x:c>
      <x:c r="R9" t="n">
        <x:f>CHOOSE('Допущения'!$O$2,R4,R5,R6)</x:f>
        <x:v>6</x:v>
      </x:c>
      <x:c r="S9" t="n">
        <x:f>CHOOSE('Допущения'!$O$2,S4,S5,S6)</x:f>
        <x:v>6</x:v>
      </x:c>
      <x:c r="T9" t="n">
        <x:f>CHOOSE('Допущения'!$O$2,T4,T5,T6)</x:f>
        <x:v>6</x:v>
      </x:c>
      <x:c r="U9" t="n">
        <x:f>CHOOSE('Допущения'!$O$2,U4,U5,U6)</x:f>
        <x:v>6</x:v>
      </x:c>
      <x:c r="V9" t="n">
        <x:f>CHOOSE('Допущения'!$O$2,V4,V5,V6)</x:f>
        <x:v>6</x:v>
      </x:c>
      <x:c r="W9" t="n">
        <x:f>CHOOSE('Допущения'!$O$2,W4,W5,W6)</x:f>
        <x:v>6</x:v>
      </x:c>
      <x:c r="X9" t="n">
        <x:f>CHOOSE('Допущения'!$O$2,X4,X5,X6)</x:f>
        <x:v>6</x:v>
      </x:c>
      <x:c r="Y9" t="n">
        <x:f>CHOOSE('Допущения'!$O$2,Y4,Y5,Y6)</x:f>
        <x:v>6</x:v>
      </x:c>
      <x:c r="Z9" t="n">
        <x:f>CHOOSE('Допущения'!$O$2,Z4,Z5,Z6)</x:f>
        <x:v>10</x:v>
      </x:c>
      <x:c r="AA9" t="n">
        <x:f>CHOOSE('Допущения'!$O$2,AA4,AA5,AA6)</x:f>
        <x:v>10</x:v>
      </x:c>
      <x:c r="AB9" t="n">
        <x:f>CHOOSE('Допущения'!$O$2,AB4,AB5,AB6)</x:f>
        <x:v>10</x:v>
      </x:c>
      <x:c r="AC9" t="n">
        <x:f>CHOOSE('Допущения'!$O$2,AC4,AC5,AC6)</x:f>
        <x:v>10</x:v>
      </x:c>
      <x:c r="AD9" t="n">
        <x:f>CHOOSE('Допущения'!$O$2,AD4,AD5,AD6)</x:f>
        <x:v>10</x:v>
      </x:c>
      <x:c r="AE9" t="n">
        <x:f>CHOOSE('Допущения'!$O$2,AE4,AE5,AE6)</x:f>
        <x:v>10</x:v>
      </x:c>
      <x:c r="AF9" t="n">
        <x:f>CHOOSE('Допущения'!$O$2,AF4,AF5,AF6)</x:f>
        <x:v>10</x:v>
      </x:c>
      <x:c r="AG9" t="n">
        <x:f>CHOOSE('Допущения'!$O$2,AG4,AG5,AG6)</x:f>
        <x:v>10</x:v>
      </x:c>
      <x:c r="AH9" t="n">
        <x:f>CHOOSE('Допущения'!$O$2,AH4,AH5,AH6)</x:f>
        <x:v>10</x:v>
      </x:c>
      <x:c r="AI9" t="n">
        <x:f>CHOOSE('Допущения'!$O$2,AI4,AI5,AI6)</x:f>
        <x:v>10</x:v>
      </x:c>
      <x:c r="AJ9" t="n">
        <x:f>CHOOSE('Допущения'!$O$2,AJ4,AJ5,AJ6)</x:f>
        <x:v>10</x:v>
      </x:c>
      <x:c r="AK9" t="n">
        <x:f>CHOOSE('Допущения'!$O$2,AK4,AK5,AK6)</x:f>
        <x:v>10</x:v>
      </x:c>
    </x:row>
  </x:sheetData>
  <x:mergeCells>
    <x:mergeCell ref="A1:AL1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36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6" hidden="0" customWidth="1"/>
    <x:col min="9" max="9" width="16" hidden="0" customWidth="1"/>
    <x:col min="10" max="10" width="16" hidden="0" customWidth="1"/>
    <x:col min="11" max="11" width="16" hidden="0" customWidth="1"/>
  </x:cols>
  <x:sheetData>
    <x:row r="1" ht="26" customHeight="1">
      <x:c r="A1" s="46" t="str">
        <x:v>Команда и ежемесячная стоимость</x:v>
      </x:c>
      <x:c r="B1" s="46"/>
      <x:c r="C1" s="46"/>
      <x:c r="D1" s="46"/>
      <x:c r="E1" s="46"/>
      <x:c r="F1" s="46"/>
      <x:c r="G1" s="41"/>
      <x:c r="H1" s="41"/>
      <x:c r="I1" s="340"/>
      <x:c r="J1" s="340"/>
      <x:c r="K1" s="340"/>
      <x:c r="L1" s="41"/>
      <x:c r="M1" s="41"/>
      <x:c r="N1" s="41"/>
      <x:c r="O1" s="41"/>
      <x:c r="P1" s="41"/>
      <x:c r="Q1" s="41"/>
      <x:c r="R1" s="41"/>
      <x:c r="S1" s="41"/>
      <x:c r="T1" s="41"/>
      <x:c r="U1" s="41"/>
      <x:c r="V1" s="41"/>
      <x:c r="W1" s="41"/>
      <x:c r="X1" s="41"/>
      <x:c r="Y1" s="41"/>
      <x:c r="Z1" s="41"/>
      <x:c r="AA1" s="41"/>
      <x:c r="AB1" s="41"/>
      <x:c r="AC1" s="41"/>
      <x:c r="AD1" s="41"/>
      <x:c r="AE1" s="41"/>
      <x:c r="AF1" s="41"/>
      <x:c r="AG1" s="41"/>
      <x:c r="AH1" s="41"/>
      <x:c r="AI1" s="41"/>
      <x:c r="AJ1" s="41"/>
      <x:c r="AK1" s="41"/>
    </x:row>
    <x:row r="3" ht="28" customHeight="1">
      <x:c r="A3" s="12" t="str">
        <x:v>Роль</x:v>
      </x:c>
      <x:c r="B3" s="12" t="str">
        <x:v>Месячная стоимость, ₽</x:v>
      </x:c>
      <x:c r="C3" s="12" t="str">
        <x:v>Старт, мес.</x:v>
      </x:c>
      <x:c r="D3" s="12" t="str">
        <x:v>Финиш, мес.</x:v>
      </x:c>
      <x:c r="E3" s="12" t="str">
        <x:v>Статус</x:v>
      </x:c>
      <x:c r="F3" s="12" t="str">
        <x:v>Источник</x:v>
      </x:c>
      <x:c r="G3" s="339" t="str">
        <x:v>Тип занятости</x:v>
      </x:c>
      <x:c r="H3" s="339" t="str">
        <x:v>База для взносов?</x:v>
      </x:c>
      <x:c r="I3" s="339" t="str">
        <x:v>Мес. Год 1</x:v>
      </x:c>
      <x:c r="J3" s="339" t="str">
        <x:v>Мес. Год 2</x:v>
      </x:c>
      <x:c r="K3" s="339" t="str">
        <x:v>Мес. Год 3</x:v>
      </x:c>
    </x:row>
    <x:row r="4">
      <x:c r="A4" t="str">
        <x:v>Технический руководитель / архитектор</x:v>
      </x:c>
      <x:c r="B4" s="59" t="n">
        <x:v>450000</x:v>
      </x:c>
      <x:c r="C4" s="51" t="n">
        <x:v>1</x:v>
      </x:c>
      <x:c r="D4" s="51" t="n">
        <x:v>36</x:v>
      </x:c>
      <x:c r="E4" t="str">
        <x:v>План</x:v>
      </x:c>
      <x:c r="F4" t="str">
        <x:v>Допущение основателя</x:v>
      </x:c>
      <x:c r="G4" s="49" t="str">
        <x:v>Штат</x:v>
      </x:c>
      <x:c r="H4" s="49" t="str">
        <x:v>Да</x:v>
      </x:c>
      <x:c r="I4" s="26" t="n">
        <x:f>MAX(0,MIN(D4,12)-MAX(C4,1)+1)</x:f>
        <x:v>12</x:v>
      </x:c>
      <x:c r="J4" s="26" t="n">
        <x:f>MAX(0,MIN(D4,24)-MAX(C4,13)+1)</x:f>
        <x:v>12</x:v>
      </x:c>
      <x:c r="K4" s="26" t="n">
        <x:f>MAX(0,MIN(D4,36)-MAX(C4,25)+1)</x:f>
        <x:v>12</x:v>
      </x:c>
    </x:row>
    <x:row r="5">
      <x:c r="A5" t="str">
        <x:v>Разработчик серверной части 1</x:v>
      </x:c>
      <x:c r="B5" s="59" t="n">
        <x:v>350000</x:v>
      </x:c>
      <x:c r="C5" s="51" t="n">
        <x:v>1</x:v>
      </x:c>
      <x:c r="D5" s="51" t="n">
        <x:v>36</x:v>
      </x:c>
      <x:c r="E5" t="str">
        <x:v>План</x:v>
      </x:c>
      <x:c r="F5" t="str">
        <x:v>Допущение основателя</x:v>
      </x:c>
      <x:c r="G5" s="49" t="str">
        <x:v>Штат</x:v>
      </x:c>
      <x:c r="H5" s="49" t="str">
        <x:v>Да</x:v>
      </x:c>
      <x:c r="I5" s="26" t="n">
        <x:f>MAX(0,MIN(D5,12)-MAX(C5,1)+1)</x:f>
        <x:v>12</x:v>
      </x:c>
      <x:c r="J5" s="26" t="n">
        <x:f>MAX(0,MIN(D5,24)-MAX(C5,13)+1)</x:f>
        <x:v>12</x:v>
      </x:c>
      <x:c r="K5" s="26" t="n">
        <x:f>MAX(0,MIN(D5,36)-MAX(C5,25)+1)</x:f>
        <x:v>12</x:v>
      </x:c>
    </x:row>
    <x:row r="6">
      <x:c r="A6" t="str">
        <x:v>Разработчик серверной части 2</x:v>
      </x:c>
      <x:c r="B6" s="59" t="n">
        <x:v>350000</x:v>
      </x:c>
      <x:c r="C6" s="51" t="n">
        <x:v>1</x:v>
      </x:c>
      <x:c r="D6" s="51" t="n">
        <x:v>36</x:v>
      </x:c>
      <x:c r="E6" t="str">
        <x:v>План</x:v>
      </x:c>
      <x:c r="F6" t="str">
        <x:v>Допущение основателя</x:v>
      </x:c>
      <x:c r="G6" s="49" t="str">
        <x:v>Штат</x:v>
      </x:c>
      <x:c r="H6" s="49" t="str">
        <x:v>Да</x:v>
      </x:c>
      <x:c r="I6" s="26" t="n">
        <x:f>MAX(0,MIN(D6,12)-MAX(C6,1)+1)</x:f>
        <x:v>12</x:v>
      </x:c>
      <x:c r="J6" s="26" t="n">
        <x:f>MAX(0,MIN(D6,24)-MAX(C6,13)+1)</x:f>
        <x:v>12</x:v>
      </x:c>
      <x:c r="K6" s="26" t="n">
        <x:f>MAX(0,MIN(D6,36)-MAX(C6,25)+1)</x:f>
        <x:v>12</x:v>
      </x:c>
    </x:row>
    <x:row r="7">
      <x:c r="A7" t="str">
        <x:v>Разработчик интерфейса</x:v>
      </x:c>
      <x:c r="B7" s="59" t="n">
        <x:v>300000</x:v>
      </x:c>
      <x:c r="C7" s="51" t="n">
        <x:v>1</x:v>
      </x:c>
      <x:c r="D7" s="51" t="n">
        <x:v>36</x:v>
      </x:c>
      <x:c r="E7" t="str">
        <x:v>План</x:v>
      </x:c>
      <x:c r="F7" t="str">
        <x:v>Допущение основателя</x:v>
      </x:c>
      <x:c r="G7" s="49" t="str">
        <x:v>Штат</x:v>
      </x:c>
      <x:c r="H7" s="49" t="str">
        <x:v>Да</x:v>
      </x:c>
      <x:c r="I7" s="26" t="n">
        <x:f>MAX(0,MIN(D7,12)-MAX(C7,1)+1)</x:f>
        <x:v>12</x:v>
      </x:c>
      <x:c r="J7" s="26" t="n">
        <x:f>MAX(0,MIN(D7,24)-MAX(C7,13)+1)</x:f>
        <x:v>12</x:v>
      </x:c>
      <x:c r="K7" s="26" t="n">
        <x:f>MAX(0,MIN(D7,36)-MAX(C7,25)+1)</x:f>
        <x:v>12</x:v>
      </x:c>
    </x:row>
    <x:row r="8">
      <x:c r="A8" t="str">
        <x:v>Продуктовый / бизнес-аналитик</x:v>
      </x:c>
      <x:c r="B8" s="59" t="n">
        <x:v>250000</x:v>
      </x:c>
      <x:c r="C8" s="51" t="n">
        <x:v>1</x:v>
      </x:c>
      <x:c r="D8" s="51" t="n">
        <x:v>36</x:v>
      </x:c>
      <x:c r="E8" t="str">
        <x:v>План</x:v>
      </x:c>
      <x:c r="F8" t="str">
        <x:v>Допущение основателя</x:v>
      </x:c>
      <x:c r="G8" s="49" t="str">
        <x:v>Штат</x:v>
      </x:c>
      <x:c r="H8" s="49" t="str">
        <x:v>Да</x:v>
      </x:c>
      <x:c r="I8" s="26" t="n">
        <x:f>MAX(0,MIN(D8,12)-MAX(C8,1)+1)</x:f>
        <x:v>12</x:v>
      </x:c>
      <x:c r="J8" s="26" t="n">
        <x:f>MAX(0,MIN(D8,24)-MAX(C8,13)+1)</x:f>
        <x:v>12</x:v>
      </x:c>
      <x:c r="K8" s="26" t="n">
        <x:f>MAX(0,MIN(D8,36)-MAX(C8,25)+1)</x:f>
        <x:v>12</x:v>
      </x:c>
    </x:row>
    <x:row r="9">
      <x:c r="A9" t="str">
        <x:v>DevOps / безопасность</x:v>
      </x:c>
      <x:c r="B9" s="59" t="n">
        <x:v>250000</x:v>
      </x:c>
      <x:c r="C9" s="51" t="n">
        <x:v>1</x:v>
      </x:c>
      <x:c r="D9" s="51" t="n">
        <x:v>36</x:v>
      </x:c>
      <x:c r="E9" t="str">
        <x:v>План</x:v>
      </x:c>
      <x:c r="F9" t="str">
        <x:v>Допущение основателя</x:v>
      </x:c>
      <x:c r="G9" s="49" t="str">
        <x:v>Штат</x:v>
      </x:c>
      <x:c r="H9" s="49" t="str">
        <x:v>Да</x:v>
      </x:c>
      <x:c r="I9" s="26" t="n">
        <x:f>MAX(0,MIN(D9,12)-MAX(C9,1)+1)</x:f>
        <x:v>12</x:v>
      </x:c>
      <x:c r="J9" s="26" t="n">
        <x:f>MAX(0,MIN(D9,24)-MAX(C9,13)+1)</x:f>
        <x:v>12</x:v>
      </x:c>
      <x:c r="K9" s="26" t="n">
        <x:f>MAX(0,MIN(D9,36)-MAX(C9,25)+1)</x:f>
        <x:v>12</x:v>
      </x:c>
    </x:row>
    <x:row r="10">
      <x:c r="A10" t="str">
        <x:v>Тестирование</x:v>
      </x:c>
      <x:c r="B10" s="59" t="n">
        <x:v>200000</x:v>
      </x:c>
      <x:c r="C10" s="51" t="n">
        <x:v>1</x:v>
      </x:c>
      <x:c r="D10" s="51" t="n">
        <x:v>36</x:v>
      </x:c>
      <x:c r="E10" t="str">
        <x:v>План</x:v>
      </x:c>
      <x:c r="F10" t="str">
        <x:v>Допущение основателя</x:v>
      </x:c>
      <x:c r="G10" s="49" t="str">
        <x:v>Штат</x:v>
      </x:c>
      <x:c r="H10" s="49" t="str">
        <x:v>Да</x:v>
      </x:c>
      <x:c r="I10" s="26" t="n">
        <x:f>MAX(0,MIN(D10,12)-MAX(C10,1)+1)</x:f>
        <x:v>12</x:v>
      </x:c>
      <x:c r="J10" s="26" t="n">
        <x:f>MAX(0,MIN(D10,24)-MAX(C10,13)+1)</x:f>
        <x:v>12</x:v>
      </x:c>
      <x:c r="K10" s="26" t="n">
        <x:f>MAX(0,MIN(D10,36)-MAX(C10,25)+1)</x:f>
        <x:v>12</x:v>
      </x:c>
    </x:row>
    <x:row r="11">
      <x:c r="A11" t="str">
        <x:v>Дизайн, частичная загрузка</x:v>
      </x:c>
      <x:c r="B11" s="59" t="n">
        <x:v>150000</x:v>
      </x:c>
      <x:c r="C11" s="51" t="n">
        <x:v>1</x:v>
      </x:c>
      <x:c r="D11" s="51" t="n">
        <x:v>12</x:v>
      </x:c>
      <x:c r="E11" t="str">
        <x:v>План</x:v>
      </x:c>
      <x:c r="F11" t="str">
        <x:v>Допущение основателя</x:v>
      </x:c>
      <x:c r="G11" s="49" t="str">
        <x:v>Подрядчик</x:v>
      </x:c>
      <x:c r="H11" s="49" t="str">
        <x:v>Нет</x:v>
      </x:c>
      <x:c r="I11" s="26" t="n">
        <x:f>MAX(0,MIN(D11,12)-MAX(C11,1)+1)</x:f>
        <x:v>12</x:v>
      </x:c>
      <x:c r="J11" s="26" t="n">
        <x:f>MAX(0,MIN(D11,24)-MAX(C11,13)+1)</x:f>
        <x:v>0</x:v>
      </x:c>
      <x:c r="K11" s="26" t="n">
        <x:f>MAX(0,MIN(D11,36)-MAX(C11,25)+1)</x:f>
        <x:v>0</x:v>
      </x:c>
    </x:row>
    <x:row r="12">
      <x:c r="A12" t="str">
        <x:v>Подрядчики / резерв разработки</x:v>
      </x:c>
      <x:c r="B12" s="59" t="n">
        <x:v>100000</x:v>
      </x:c>
      <x:c r="C12" s="51" t="n">
        <x:v>1</x:v>
      </x:c>
      <x:c r="D12" s="51" t="n">
        <x:v>36</x:v>
      </x:c>
      <x:c r="E12" t="str">
        <x:v>План</x:v>
      </x:c>
      <x:c r="F12" t="str">
        <x:v>Допущение основателя</x:v>
      </x:c>
      <x:c r="G12" s="49" t="str">
        <x:v>Подрядчик</x:v>
      </x:c>
      <x:c r="H12" s="49" t="str">
        <x:v>Нет</x:v>
      </x:c>
      <x:c r="I12" s="26" t="n">
        <x:f>MAX(0,MIN(D12,12)-MAX(C12,1)+1)</x:f>
        <x:v>12</x:v>
      </x:c>
      <x:c r="J12" s="26" t="n">
        <x:f>MAX(0,MIN(D12,24)-MAX(C12,13)+1)</x:f>
        <x:v>12</x:v>
      </x:c>
      <x:c r="K12" s="26" t="n">
        <x:f>MAX(0,MIN(D12,36)-MAX(C12,25)+1)</x:f>
        <x:v>12</x:v>
      </x:c>
    </x:row>
    <x:row r="13">
      <x:c r="A13" t="str">
        <x:v>Специалист внедрения</x:v>
      </x:c>
      <x:c r="B13" s="59" t="n">
        <x:v>250000</x:v>
      </x:c>
      <x:c r="C13" s="51" t="n">
        <x:v>4</x:v>
      </x:c>
      <x:c r="D13" s="51" t="n">
        <x:v>36</x:v>
      </x:c>
      <x:c r="E13" t="str">
        <x:v>План</x:v>
      </x:c>
      <x:c r="F13" t="str">
        <x:v>Допущение модели</x:v>
      </x:c>
      <x:c r="G13" s="49" t="str">
        <x:v>Штат</x:v>
      </x:c>
      <x:c r="H13" s="49" t="str">
        <x:v>Да</x:v>
      </x:c>
      <x:c r="I13" s="26" t="n">
        <x:f>MAX(0,MIN(D13,12)-MAX(C13,1)+1)</x:f>
        <x:v>9</x:v>
      </x:c>
      <x:c r="J13" s="26" t="n">
        <x:f>MAX(0,MIN(D13,24)-MAX(C13,13)+1)</x:f>
        <x:v>12</x:v>
      </x:c>
      <x:c r="K13" s="26" t="n">
        <x:f>MAX(0,MIN(D13,36)-MAX(C13,25)+1)</x:f>
        <x:v>12</x:v>
      </x:c>
    </x:row>
    <x:row r="14">
      <x:c r="A14" t="str">
        <x:v>Аккаунт-менеджер</x:v>
      </x:c>
      <x:c r="B14" s="59" t="n">
        <x:v>200000</x:v>
      </x:c>
      <x:c r="C14" s="51" t="n">
        <x:v>7</x:v>
      </x:c>
      <x:c r="D14" s="51" t="n">
        <x:v>36</x:v>
      </x:c>
      <x:c r="E14" t="str">
        <x:v>План</x:v>
      </x:c>
      <x:c r="F14" t="str">
        <x:v>Допущение модели</x:v>
      </x:c>
      <x:c r="G14" s="49" t="str">
        <x:v>Штат</x:v>
      </x:c>
      <x:c r="H14" s="49" t="str">
        <x:v>Да</x:v>
      </x:c>
      <x:c r="I14" s="26" t="n">
        <x:f>MAX(0,MIN(D14,12)-MAX(C14,1)+1)</x:f>
        <x:v>6</x:v>
      </x:c>
      <x:c r="J14" s="26" t="n">
        <x:f>MAX(0,MIN(D14,24)-MAX(C14,13)+1)</x:f>
        <x:v>12</x:v>
      </x:c>
      <x:c r="K14" s="26" t="n">
        <x:f>MAX(0,MIN(D14,36)-MAX(C14,25)+1)</x:f>
        <x:v>12</x:v>
      </x:c>
    </x:row>
    <x:row r="15">
      <x:c r="A15" t="str">
        <x:v>Разработчик серверной части 3</x:v>
      </x:c>
      <x:c r="B15" s="59" t="n">
        <x:v>350000</x:v>
      </x:c>
      <x:c r="C15" s="51" t="n">
        <x:v>7</x:v>
      </x:c>
      <x:c r="D15" s="51" t="n">
        <x:v>36</x:v>
      </x:c>
      <x:c r="E15" t="str">
        <x:v>План</x:v>
      </x:c>
      <x:c r="F15" t="str">
        <x:v>Допущение модели</x:v>
      </x:c>
      <x:c r="G15" s="49" t="str">
        <x:v>Штат</x:v>
      </x:c>
      <x:c r="H15" s="49" t="str">
        <x:v>Да</x:v>
      </x:c>
      <x:c r="I15" s="26" t="n">
        <x:f>MAX(0,MIN(D15,12)-MAX(C15,1)+1)</x:f>
        <x:v>6</x:v>
      </x:c>
      <x:c r="J15" s="26" t="n">
        <x:f>MAX(0,MIN(D15,24)-MAX(C15,13)+1)</x:f>
        <x:v>12</x:v>
      </x:c>
      <x:c r="K15" s="26" t="n">
        <x:f>MAX(0,MIN(D15,36)-MAX(C15,25)+1)</x:f>
        <x:v>12</x:v>
      </x:c>
    </x:row>
    <x:row r="16">
      <x:c r="A16" t="str">
        <x:v>Менеджер продаж</x:v>
      </x:c>
      <x:c r="B16" s="59" t="n">
        <x:v>250000</x:v>
      </x:c>
      <x:c r="C16" s="51" t="n">
        <x:v>10</x:v>
      </x:c>
      <x:c r="D16" s="51" t="n">
        <x:v>36</x:v>
      </x:c>
      <x:c r="E16" t="str">
        <x:v>План</x:v>
      </x:c>
      <x:c r="F16" t="str">
        <x:v>Допущение модели</x:v>
      </x:c>
      <x:c r="G16" s="49" t="str">
        <x:v>Штат</x:v>
      </x:c>
      <x:c r="H16" s="49" t="str">
        <x:v>Да</x:v>
      </x:c>
      <x:c r="I16" s="26" t="n">
        <x:f>MAX(0,MIN(D16,12)-MAX(C16,1)+1)</x:f>
        <x:v>3</x:v>
      </x:c>
      <x:c r="J16" s="26" t="n">
        <x:f>MAX(0,MIN(D16,24)-MAX(C16,13)+1)</x:f>
        <x:v>12</x:v>
      </x:c>
      <x:c r="K16" s="26" t="n">
        <x:f>MAX(0,MIN(D16,36)-MAX(C16,25)+1)</x:f>
        <x:v>12</x:v>
      </x:c>
    </x:row>
  </x:sheetData>
  <x:mergeCells>
    <x:mergeCell ref="A1:F1"/>
  </x:mergeCells>
  <x:dataValidations count="2">
    <x:dataValidation type="list" sqref="G4:G16">
      <x:formula1>"Штат,Подрядчик"</x:formula1>
    </x:dataValidation>
    <x:dataValidation type="list" sqref="H4:H16">
      <x:formula1>"Да,Нет"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36" hidden="0" customWidth="1"/>
    <x:col min="2" max="2" width="12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  <x:col min="11" max="11" width="12" hidden="0" customWidth="1"/>
    <x:col min="12" max="12" width="12" hidden="0" customWidth="1"/>
    <x:col min="13" max="13" width="12" hidden="0" customWidth="1"/>
    <x:col min="14" max="14" width="12" hidden="0" customWidth="1"/>
    <x:col min="15" max="15" width="12" hidden="0" customWidth="1"/>
    <x:col min="16" max="16" width="12" hidden="0" customWidth="1"/>
    <x:col min="17" max="17" width="12" hidden="0" customWidth="1"/>
    <x:col min="18" max="18" width="12" hidden="0" customWidth="1"/>
    <x:col min="19" max="19" width="12" hidden="0" customWidth="1"/>
    <x:col min="20" max="20" width="12" hidden="0" customWidth="1"/>
    <x:col min="21" max="21" width="12" hidden="0" customWidth="1"/>
    <x:col min="22" max="22" width="12" hidden="0" customWidth="1"/>
    <x:col min="23" max="23" width="12" hidden="0" customWidth="1"/>
    <x:col min="24" max="24" width="12" hidden="0" customWidth="1"/>
    <x:col min="25" max="25" width="12" hidden="0" customWidth="1"/>
    <x:col min="26" max="26" width="12" hidden="0" customWidth="1"/>
    <x:col min="27" max="27" width="12" hidden="0" customWidth="1"/>
    <x:col min="28" max="28" width="12" hidden="0" customWidth="1"/>
    <x:col min="29" max="29" width="12" hidden="0" customWidth="1"/>
    <x:col min="30" max="30" width="12" hidden="0" customWidth="1"/>
    <x:col min="31" max="31" width="12" hidden="0" customWidth="1"/>
    <x:col min="32" max="32" width="12" hidden="0" customWidth="1"/>
    <x:col min="33" max="33" width="12" hidden="0" customWidth="1"/>
    <x:col min="34" max="34" width="12" hidden="0" customWidth="1"/>
    <x:col min="35" max="35" width="12" hidden="0" customWidth="1"/>
    <x:col min="36" max="36" width="12" hidden="0" customWidth="1"/>
    <x:col min="37" max="37" width="12" hidden="0" customWidth="1"/>
  </x:cols>
  <x:sheetData>
    <x:row r="1" ht="26" customHeight="1">
      <x:c r="A1" s="46" t="str">
        <x:v>QORSYS — драйверная модель на 36 месяцев</x:v>
      </x:c>
      <x:c r="B1" s="46"/>
      <x:c r="C1" s="46"/>
      <x:c r="D1" s="46"/>
      <x:c r="E1" s="46"/>
      <x:c r="F1" s="46"/>
      <x:c r="G1" s="46"/>
      <x:c r="H1" s="46"/>
      <x:c r="I1" s="46"/>
      <x:c r="J1" s="46"/>
      <x:c r="K1" s="46"/>
      <x:c r="L1" s="46"/>
      <x:c r="M1" s="46"/>
      <x:c r="N1" s="46"/>
      <x:c r="O1" s="46"/>
      <x:c r="P1" s="46"/>
      <x:c r="Q1" s="46"/>
      <x:c r="R1" s="46"/>
      <x:c r="S1" s="46"/>
      <x:c r="T1" s="46"/>
      <x:c r="U1" s="46"/>
      <x:c r="V1" s="46"/>
      <x:c r="W1" s="46"/>
      <x:c r="X1" s="46"/>
      <x:c r="Y1" s="46"/>
      <x:c r="Z1" s="46"/>
      <x:c r="AA1" s="46"/>
      <x:c r="AB1" s="46"/>
      <x:c r="AC1" s="46"/>
      <x:c r="AD1" s="46"/>
      <x:c r="AE1" s="46"/>
      <x:c r="AF1" s="46"/>
      <x:c r="AG1" s="46"/>
      <x:c r="AH1" s="46"/>
      <x:c r="AI1" s="46"/>
      <x:c r="AJ1" s="46"/>
      <x:c r="AK1" s="46"/>
      <x:c r="AL1" s="30"/>
    </x:row>
    <x:row r="3" ht="28" customHeight="1">
      <x:c r="A3" s="12" t="str">
        <x:v>Показатель</x:v>
      </x:c>
      <x:c r="B3" s="12" t="str">
        <x:v>М1</x:v>
      </x:c>
      <x:c r="C3" s="12" t="str">
        <x:v>М2</x:v>
      </x:c>
      <x:c r="D3" s="12" t="str">
        <x:v>М3</x:v>
      </x:c>
      <x:c r="E3" s="12" t="str">
        <x:v>М4</x:v>
      </x:c>
      <x:c r="F3" s="12" t="str">
        <x:v>М5</x:v>
      </x:c>
      <x:c r="G3" s="12" t="str">
        <x:v>М6</x:v>
      </x:c>
      <x:c r="H3" s="12" t="str">
        <x:v>М7</x:v>
      </x:c>
      <x:c r="I3" s="12" t="str">
        <x:v>М8</x:v>
      </x:c>
      <x:c r="J3" s="12" t="str">
        <x:v>М9</x:v>
      </x:c>
      <x:c r="K3" s="12" t="str">
        <x:v>М10</x:v>
      </x:c>
      <x:c r="L3" s="12" t="str">
        <x:v>М11</x:v>
      </x:c>
      <x:c r="M3" s="12" t="str">
        <x:v>М12</x:v>
      </x:c>
      <x:c r="N3" s="12" t="str">
        <x:v>М13</x:v>
      </x:c>
      <x:c r="O3" s="12" t="str">
        <x:v>М14</x:v>
      </x:c>
      <x:c r="P3" s="12" t="str">
        <x:v>М15</x:v>
      </x:c>
      <x:c r="Q3" s="12" t="str">
        <x:v>М16</x:v>
      </x:c>
      <x:c r="R3" s="12" t="str">
        <x:v>М17</x:v>
      </x:c>
      <x:c r="S3" s="12" t="str">
        <x:v>М18</x:v>
      </x:c>
      <x:c r="T3" s="12" t="str">
        <x:v>М19</x:v>
      </x:c>
      <x:c r="U3" s="12" t="str">
        <x:v>М20</x:v>
      </x:c>
      <x:c r="V3" s="12" t="str">
        <x:v>М21</x:v>
      </x:c>
      <x:c r="W3" s="12" t="str">
        <x:v>М22</x:v>
      </x:c>
      <x:c r="X3" s="12" t="str">
        <x:v>М23</x:v>
      </x:c>
      <x:c r="Y3" s="12" t="str">
        <x:v>М24</x:v>
      </x:c>
      <x:c r="Z3" s="12" t="str">
        <x:v>М25</x:v>
      </x:c>
      <x:c r="AA3" s="12" t="str">
        <x:v>М26</x:v>
      </x:c>
      <x:c r="AB3" s="12" t="str">
        <x:v>М27</x:v>
      </x:c>
      <x:c r="AC3" s="12" t="str">
        <x:v>М28</x:v>
      </x:c>
      <x:c r="AD3" s="12" t="str">
        <x:v>М29</x:v>
      </x:c>
      <x:c r="AE3" s="12" t="str">
        <x:v>М30</x:v>
      </x:c>
      <x:c r="AF3" s="12" t="str">
        <x:v>М31</x:v>
      </x:c>
      <x:c r="AG3" s="12" t="str">
        <x:v>М32</x:v>
      </x:c>
      <x:c r="AH3" s="12" t="str">
        <x:v>М33</x:v>
      </x:c>
      <x:c r="AI3" s="12" t="str">
        <x:v>М34</x:v>
      </x:c>
      <x:c r="AJ3" s="12" t="str">
        <x:v>М35</x:v>
      </x:c>
      <x:c r="AK3" s="12" t="str">
        <x:v>М36</x:v>
      </x:c>
    </x:row>
    <x:row r="4">
      <x:c r="A4" s="32" t="str">
        <x:v>Аудиты</x:v>
      </x:c>
      <x:c r="B4" s="34" t="n">
        <x:f>'План аудитов'!B9</x:f>
        <x:v>2</x:v>
      </x:c>
      <x:c r="C4" s="34" t="n">
        <x:f>'План аудитов'!C9</x:f>
        <x:v>3</x:v>
      </x:c>
      <x:c r="D4" s="34" t="n">
        <x:f>'План аудитов'!D9</x:f>
        <x:v>3</x:v>
      </x:c>
      <x:c r="E4" s="34" t="n">
        <x:f>'План аудитов'!E9</x:f>
        <x:v>4</x:v>
      </x:c>
      <x:c r="F4" s="34" t="n">
        <x:f>'План аудитов'!F9</x:f>
        <x:v>4</x:v>
      </x:c>
      <x:c r="G4" s="34" t="n">
        <x:f>'План аудитов'!G9</x:f>
        <x:v>4</x:v>
      </x:c>
      <x:c r="H4" s="34" t="n">
        <x:f>'План аудитов'!H9</x:f>
        <x:v>5</x:v>
      </x:c>
      <x:c r="I4" s="34" t="n">
        <x:f>'План аудитов'!I9</x:f>
        <x:v>5</x:v>
      </x:c>
      <x:c r="J4" s="34" t="n">
        <x:f>'План аудитов'!J9</x:f>
        <x:v>5</x:v>
      </x:c>
      <x:c r="K4" s="34" t="n">
        <x:f>'План аудитов'!K9</x:f>
        <x:v>5</x:v>
      </x:c>
      <x:c r="L4" s="34" t="n">
        <x:f>'План аудитов'!L9</x:f>
        <x:v>5</x:v>
      </x:c>
      <x:c r="M4" s="34" t="n">
        <x:f>'План аудитов'!M9</x:f>
        <x:v>5</x:v>
      </x:c>
      <x:c r="N4" s="34" t="n">
        <x:f>'План аудитов'!N9</x:f>
        <x:v>6</x:v>
      </x:c>
      <x:c r="O4" s="34" t="n">
        <x:f>'План аудитов'!O9</x:f>
        <x:v>6</x:v>
      </x:c>
      <x:c r="P4" s="34" t="n">
        <x:f>'План аудитов'!P9</x:f>
        <x:v>6</x:v>
      </x:c>
      <x:c r="Q4" s="34" t="n">
        <x:f>'План аудитов'!Q9</x:f>
        <x:v>6</x:v>
      </x:c>
      <x:c r="R4" s="34" t="n">
        <x:f>'План аудитов'!R9</x:f>
        <x:v>6</x:v>
      </x:c>
      <x:c r="S4" s="34" t="n">
        <x:f>'План аудитов'!S9</x:f>
        <x:v>6</x:v>
      </x:c>
      <x:c r="T4" s="34" t="n">
        <x:f>'План аудитов'!T9</x:f>
        <x:v>6</x:v>
      </x:c>
      <x:c r="U4" s="34" t="n">
        <x:f>'План аудитов'!U9</x:f>
        <x:v>6</x:v>
      </x:c>
      <x:c r="V4" s="34" t="n">
        <x:f>'План аудитов'!V9</x:f>
        <x:v>6</x:v>
      </x:c>
      <x:c r="W4" s="34" t="n">
        <x:f>'План аудитов'!W9</x:f>
        <x:v>6</x:v>
      </x:c>
      <x:c r="X4" s="34" t="n">
        <x:f>'План аудитов'!X9</x:f>
        <x:v>6</x:v>
      </x:c>
      <x:c r="Y4" s="34" t="n">
        <x:f>'План аудитов'!Y9</x:f>
        <x:v>6</x:v>
      </x:c>
      <x:c r="Z4" s="34" t="n">
        <x:f>'План аудитов'!Z9</x:f>
        <x:v>10</x:v>
      </x:c>
      <x:c r="AA4" s="34" t="n">
        <x:f>'План аудитов'!AA9</x:f>
        <x:v>10</x:v>
      </x:c>
      <x:c r="AB4" s="34" t="n">
        <x:f>'План аудитов'!AB9</x:f>
        <x:v>10</x:v>
      </x:c>
      <x:c r="AC4" s="34" t="n">
        <x:f>'План аудитов'!AC9</x:f>
        <x:v>10</x:v>
      </x:c>
      <x:c r="AD4" s="34" t="n">
        <x:f>'План аудитов'!AD9</x:f>
        <x:v>10</x:v>
      </x:c>
      <x:c r="AE4" s="34" t="n">
        <x:f>'План аудитов'!AE9</x:f>
        <x:v>10</x:v>
      </x:c>
      <x:c r="AF4" s="34" t="n">
        <x:f>'План аудитов'!AF9</x:f>
        <x:v>10</x:v>
      </x:c>
      <x:c r="AG4" s="34" t="n">
        <x:f>'План аудитов'!AG9</x:f>
        <x:v>10</x:v>
      </x:c>
      <x:c r="AH4" s="34" t="n">
        <x:f>'План аудитов'!AH9</x:f>
        <x:v>10</x:v>
      </x:c>
      <x:c r="AI4" s="34" t="n">
        <x:f>'План аудитов'!AI9</x:f>
        <x:v>10</x:v>
      </x:c>
      <x:c r="AJ4" s="34" t="n">
        <x:f>'План аудитов'!AJ9</x:f>
        <x:v>10</x:v>
      </x:c>
      <x:c r="AK4" s="34" t="n">
        <x:f>'План аудитов'!AK9</x:f>
        <x:v>10</x:v>
      </x:c>
    </x:row>
    <x:row r="5">
      <x:c r="A5" s="32" t="str">
        <x:v>Конверсия аудит → оптимизация</x:v>
      </x:c>
      <x:c r="B5" s="36" t="n">
        <x:f>'Допущения'!$K$5</x:f>
        <x:v>0.55</x:v>
      </x:c>
      <x:c r="C5" s="36" t="n">
        <x:f>'Допущения'!$K$5</x:f>
        <x:v>0.55</x:v>
      </x:c>
      <x:c r="D5" s="36" t="n">
        <x:f>'Допущения'!$K$5</x:f>
        <x:v>0.55</x:v>
      </x:c>
      <x:c r="E5" s="36" t="n">
        <x:f>'Допущения'!$K$5</x:f>
        <x:v>0.55</x:v>
      </x:c>
      <x:c r="F5" s="36" t="n">
        <x:f>'Допущения'!$K$5</x:f>
        <x:v>0.55</x:v>
      </x:c>
      <x:c r="G5" s="36" t="n">
        <x:f>'Допущения'!$K$5</x:f>
        <x:v>0.55</x:v>
      </x:c>
      <x:c r="H5" s="36" t="n">
        <x:f>'Допущения'!$K$5</x:f>
        <x:v>0.55</x:v>
      </x:c>
      <x:c r="I5" s="36" t="n">
        <x:f>'Допущения'!$K$5</x:f>
        <x:v>0.55</x:v>
      </x:c>
      <x:c r="J5" s="36" t="n">
        <x:f>'Допущения'!$K$5</x:f>
        <x:v>0.55</x:v>
      </x:c>
      <x:c r="K5" s="36" t="n">
        <x:f>'Допущения'!$K$5</x:f>
        <x:v>0.55</x:v>
      </x:c>
      <x:c r="L5" s="36" t="n">
        <x:f>'Допущения'!$K$5</x:f>
        <x:v>0.55</x:v>
      </x:c>
      <x:c r="M5" s="36" t="n">
        <x:f>'Допущения'!$K$5</x:f>
        <x:v>0.55</x:v>
      </x:c>
      <x:c r="N5" s="36" t="n">
        <x:f>'Допущения'!$K$5</x:f>
        <x:v>0.55</x:v>
      </x:c>
      <x:c r="O5" s="36" t="n">
        <x:f>'Допущения'!$K$5</x:f>
        <x:v>0.55</x:v>
      </x:c>
      <x:c r="P5" s="36" t="n">
        <x:f>'Допущения'!$K$5</x:f>
        <x:v>0.55</x:v>
      </x:c>
      <x:c r="Q5" s="36" t="n">
        <x:f>'Допущения'!$K$5</x:f>
        <x:v>0.55</x:v>
      </x:c>
      <x:c r="R5" s="36" t="n">
        <x:f>'Допущения'!$K$5</x:f>
        <x:v>0.55</x:v>
      </x:c>
      <x:c r="S5" s="36" t="n">
        <x:f>'Допущения'!$K$5</x:f>
        <x:v>0.55</x:v>
      </x:c>
      <x:c r="T5" s="36" t="n">
        <x:f>'Допущения'!$K$5</x:f>
        <x:v>0.55</x:v>
      </x:c>
      <x:c r="U5" s="36" t="n">
        <x:f>'Допущения'!$K$5</x:f>
        <x:v>0.55</x:v>
      </x:c>
      <x:c r="V5" s="36" t="n">
        <x:f>'Допущения'!$K$5</x:f>
        <x:v>0.55</x:v>
      </x:c>
      <x:c r="W5" s="36" t="n">
        <x:f>'Допущения'!$K$5</x:f>
        <x:v>0.55</x:v>
      </x:c>
      <x:c r="X5" s="36" t="n">
        <x:f>'Допущения'!$K$5</x:f>
        <x:v>0.55</x:v>
      </x:c>
      <x:c r="Y5" s="36" t="n">
        <x:f>'Допущения'!$K$5</x:f>
        <x:v>0.55</x:v>
      </x:c>
      <x:c r="Z5" s="36" t="n">
        <x:f>'Допущения'!$K$5</x:f>
        <x:v>0.55</x:v>
      </x:c>
      <x:c r="AA5" s="36" t="n">
        <x:f>'Допущения'!$K$5</x:f>
        <x:v>0.55</x:v>
      </x:c>
      <x:c r="AB5" s="36" t="n">
        <x:f>'Допущения'!$K$5</x:f>
        <x:v>0.55</x:v>
      </x:c>
      <x:c r="AC5" s="36" t="n">
        <x:f>'Допущения'!$K$5</x:f>
        <x:v>0.55</x:v>
      </x:c>
      <x:c r="AD5" s="36" t="n">
        <x:f>'Допущения'!$K$5</x:f>
        <x:v>0.55</x:v>
      </x:c>
      <x:c r="AE5" s="36" t="n">
        <x:f>'Допущения'!$K$5</x:f>
        <x:v>0.55</x:v>
      </x:c>
      <x:c r="AF5" s="36" t="n">
        <x:f>'Допущения'!$K$5</x:f>
        <x:v>0.55</x:v>
      </x:c>
      <x:c r="AG5" s="36" t="n">
        <x:f>'Допущения'!$K$5</x:f>
        <x:v>0.55</x:v>
      </x:c>
      <x:c r="AH5" s="36" t="n">
        <x:f>'Допущения'!$K$5</x:f>
        <x:v>0.55</x:v>
      </x:c>
      <x:c r="AI5" s="36" t="n">
        <x:f>'Допущения'!$K$5</x:f>
        <x:v>0.55</x:v>
      </x:c>
      <x:c r="AJ5" s="36" t="n">
        <x:f>'Допущения'!$K$5</x:f>
        <x:v>0.55</x:v>
      </x:c>
      <x:c r="AK5" s="36" t="n">
        <x:f>'Допущения'!$K$5</x:f>
        <x:v>0.55</x:v>
      </x:c>
    </x:row>
    <x:row r="6">
      <x:c r="A6" s="32" t="str">
        <x:v>Оптимизации</x:v>
      </x:c>
      <x:c r="B6" s="34" t="n">
        <x:f>B4*B5</x:f>
        <x:v>1.1</x:v>
      </x:c>
      <x:c r="C6" s="34" t="n">
        <x:f>C4*C5</x:f>
        <x:v>1.6500000000000001</x:v>
      </x:c>
      <x:c r="D6" s="34" t="n">
        <x:f>D4*D5</x:f>
        <x:v>1.6500000000000001</x:v>
      </x:c>
      <x:c r="E6" s="34" t="n">
        <x:f>E4*E5</x:f>
        <x:v>2.2</x:v>
      </x:c>
      <x:c r="F6" s="34" t="n">
        <x:f>F4*F5</x:f>
        <x:v>2.2</x:v>
      </x:c>
      <x:c r="G6" s="34" t="n">
        <x:f>G4*G5</x:f>
        <x:v>2.2</x:v>
      </x:c>
      <x:c r="H6" s="34" t="n">
        <x:f>H4*H5</x:f>
        <x:v>2.75</x:v>
      </x:c>
      <x:c r="I6" s="34" t="n">
        <x:f>I4*I5</x:f>
        <x:v>2.75</x:v>
      </x:c>
      <x:c r="J6" s="34" t="n">
        <x:f>J4*J5</x:f>
        <x:v>2.75</x:v>
      </x:c>
      <x:c r="K6" s="34" t="n">
        <x:f>K4*K5</x:f>
        <x:v>2.75</x:v>
      </x:c>
      <x:c r="L6" s="34" t="n">
        <x:f>L4*L5</x:f>
        <x:v>2.75</x:v>
      </x:c>
      <x:c r="M6" s="34" t="n">
        <x:f>M4*M5</x:f>
        <x:v>2.75</x:v>
      </x:c>
      <x:c r="N6" s="34" t="n">
        <x:f>N4*N5</x:f>
        <x:v>3.3000000000000003</x:v>
      </x:c>
      <x:c r="O6" s="34" t="n">
        <x:f>O4*O5</x:f>
        <x:v>3.3000000000000003</x:v>
      </x:c>
      <x:c r="P6" s="34" t="n">
        <x:f>P4*P5</x:f>
        <x:v>3.3000000000000003</x:v>
      </x:c>
      <x:c r="Q6" s="34" t="n">
        <x:f>Q4*Q5</x:f>
        <x:v>3.3000000000000003</x:v>
      </x:c>
      <x:c r="R6" s="34" t="n">
        <x:f>R4*R5</x:f>
        <x:v>3.3000000000000003</x:v>
      </x:c>
      <x:c r="S6" s="34" t="n">
        <x:f>S4*S5</x:f>
        <x:v>3.3000000000000003</x:v>
      </x:c>
      <x:c r="T6" s="34" t="n">
        <x:f>T4*T5</x:f>
        <x:v>3.3000000000000003</x:v>
      </x:c>
      <x:c r="U6" s="34" t="n">
        <x:f>U4*U5</x:f>
        <x:v>3.3000000000000003</x:v>
      </x:c>
      <x:c r="V6" s="34" t="n">
        <x:f>V4*V5</x:f>
        <x:v>3.3000000000000003</x:v>
      </x:c>
      <x:c r="W6" s="34" t="n">
        <x:f>W4*W5</x:f>
        <x:v>3.3000000000000003</x:v>
      </x:c>
      <x:c r="X6" s="34" t="n">
        <x:f>X4*X5</x:f>
        <x:v>3.3000000000000003</x:v>
      </x:c>
      <x:c r="Y6" s="34" t="n">
        <x:f>Y4*Y5</x:f>
        <x:v>3.3000000000000003</x:v>
      </x:c>
      <x:c r="Z6" s="34" t="n">
        <x:f>Z4*Z5</x:f>
        <x:v>5.5</x:v>
      </x:c>
      <x:c r="AA6" s="34" t="n">
        <x:f>AA4*AA5</x:f>
        <x:v>5.5</x:v>
      </x:c>
      <x:c r="AB6" s="34" t="n">
        <x:f>AB4*AB5</x:f>
        <x:v>5.5</x:v>
      </x:c>
      <x:c r="AC6" s="34" t="n">
        <x:f>AC4*AC5</x:f>
        <x:v>5.5</x:v>
      </x:c>
      <x:c r="AD6" s="34" t="n">
        <x:f>AD4*AD5</x:f>
        <x:v>5.5</x:v>
      </x:c>
      <x:c r="AE6" s="34" t="n">
        <x:f>AE4*AE5</x:f>
        <x:v>5.5</x:v>
      </x:c>
      <x:c r="AF6" s="34" t="n">
        <x:f>AF4*AF5</x:f>
        <x:v>5.5</x:v>
      </x:c>
      <x:c r="AG6" s="34" t="n">
        <x:f>AG4*AG5</x:f>
        <x:v>5.5</x:v>
      </x:c>
      <x:c r="AH6" s="34" t="n">
        <x:f>AH4*AH5</x:f>
        <x:v>5.5</x:v>
      </x:c>
      <x:c r="AI6" s="34" t="n">
        <x:f>AI4*AI5</x:f>
        <x:v>5.5</x:v>
      </x:c>
      <x:c r="AJ6" s="34" t="n">
        <x:f>AJ4*AJ5</x:f>
        <x:v>5.5</x:v>
      </x:c>
      <x:c r="AK6" s="34" t="n">
        <x:f>AK4*AK5</x:f>
        <x:v>5.5</x:v>
      </x:c>
    </x:row>
    <x:row r="7">
      <x:c r="A7" s="32" t="str">
        <x:v>Конверсия оптимизация → Ядро QORSYS</x:v>
      </x:c>
      <x:c r="B7" s="36" t="n">
        <x:f>'Допущения'!$K$6</x:f>
        <x:v>0.8</x:v>
      </x:c>
      <x:c r="C7" s="36" t="n">
        <x:f>'Допущения'!$K$6</x:f>
        <x:v>0.8</x:v>
      </x:c>
      <x:c r="D7" s="36" t="n">
        <x:f>'Допущения'!$K$6</x:f>
        <x:v>0.8</x:v>
      </x:c>
      <x:c r="E7" s="36" t="n">
        <x:f>'Допущения'!$K$6</x:f>
        <x:v>0.8</x:v>
      </x:c>
      <x:c r="F7" s="36" t="n">
        <x:f>'Допущения'!$K$6</x:f>
        <x:v>0.8</x:v>
      </x:c>
      <x:c r="G7" s="36" t="n">
        <x:f>'Допущения'!$K$6</x:f>
        <x:v>0.8</x:v>
      </x:c>
      <x:c r="H7" s="36" t="n">
        <x:f>'Допущения'!$K$6</x:f>
        <x:v>0.8</x:v>
      </x:c>
      <x:c r="I7" s="36" t="n">
        <x:f>'Допущения'!$K$6</x:f>
        <x:v>0.8</x:v>
      </x:c>
      <x:c r="J7" s="36" t="n">
        <x:f>'Допущения'!$K$6</x:f>
        <x:v>0.8</x:v>
      </x:c>
      <x:c r="K7" s="36" t="n">
        <x:f>'Допущения'!$K$6</x:f>
        <x:v>0.8</x:v>
      </x:c>
      <x:c r="L7" s="36" t="n">
        <x:f>'Допущения'!$K$6</x:f>
        <x:v>0.8</x:v>
      </x:c>
      <x:c r="M7" s="36" t="n">
        <x:f>'Допущения'!$K$6</x:f>
        <x:v>0.8</x:v>
      </x:c>
      <x:c r="N7" s="36" t="n">
        <x:f>'Допущения'!$K$6</x:f>
        <x:v>0.8</x:v>
      </x:c>
      <x:c r="O7" s="36" t="n">
        <x:f>'Допущения'!$K$6</x:f>
        <x:v>0.8</x:v>
      </x:c>
      <x:c r="P7" s="36" t="n">
        <x:f>'Допущения'!$K$6</x:f>
        <x:v>0.8</x:v>
      </x:c>
      <x:c r="Q7" s="36" t="n">
        <x:f>'Допущения'!$K$6</x:f>
        <x:v>0.8</x:v>
      </x:c>
      <x:c r="R7" s="36" t="n">
        <x:f>'Допущения'!$K$6</x:f>
        <x:v>0.8</x:v>
      </x:c>
      <x:c r="S7" s="36" t="n">
        <x:f>'Допущения'!$K$6</x:f>
        <x:v>0.8</x:v>
      </x:c>
      <x:c r="T7" s="36" t="n">
        <x:f>'Допущения'!$K$6</x:f>
        <x:v>0.8</x:v>
      </x:c>
      <x:c r="U7" s="36" t="n">
        <x:f>'Допущения'!$K$6</x:f>
        <x:v>0.8</x:v>
      </x:c>
      <x:c r="V7" s="36" t="n">
        <x:f>'Допущения'!$K$6</x:f>
        <x:v>0.8</x:v>
      </x:c>
      <x:c r="W7" s="36" t="n">
        <x:f>'Допущения'!$K$6</x:f>
        <x:v>0.8</x:v>
      </x:c>
      <x:c r="X7" s="36" t="n">
        <x:f>'Допущения'!$K$6</x:f>
        <x:v>0.8</x:v>
      </x:c>
      <x:c r="Y7" s="36" t="n">
        <x:f>'Допущения'!$K$6</x:f>
        <x:v>0.8</x:v>
      </x:c>
      <x:c r="Z7" s="36" t="n">
        <x:f>'Допущения'!$K$6</x:f>
        <x:v>0.8</x:v>
      </x:c>
      <x:c r="AA7" s="36" t="n">
        <x:f>'Допущения'!$K$6</x:f>
        <x:v>0.8</x:v>
      </x:c>
      <x:c r="AB7" s="36" t="n">
        <x:f>'Допущения'!$K$6</x:f>
        <x:v>0.8</x:v>
      </x:c>
      <x:c r="AC7" s="36" t="n">
        <x:f>'Допущения'!$K$6</x:f>
        <x:v>0.8</x:v>
      </x:c>
      <x:c r="AD7" s="36" t="n">
        <x:f>'Допущения'!$K$6</x:f>
        <x:v>0.8</x:v>
      </x:c>
      <x:c r="AE7" s="36" t="n">
        <x:f>'Допущения'!$K$6</x:f>
        <x:v>0.8</x:v>
      </x:c>
      <x:c r="AF7" s="36" t="n">
        <x:f>'Допущения'!$K$6</x:f>
        <x:v>0.8</x:v>
      </x:c>
      <x:c r="AG7" s="36" t="n">
        <x:f>'Допущения'!$K$6</x:f>
        <x:v>0.8</x:v>
      </x:c>
      <x:c r="AH7" s="36" t="n">
        <x:f>'Допущения'!$K$6</x:f>
        <x:v>0.8</x:v>
      </x:c>
      <x:c r="AI7" s="36" t="n">
        <x:f>'Допущения'!$K$6</x:f>
        <x:v>0.8</x:v>
      </x:c>
      <x:c r="AJ7" s="36" t="n">
        <x:f>'Допущения'!$K$6</x:f>
        <x:v>0.8</x:v>
      </x:c>
      <x:c r="AK7" s="36" t="n">
        <x:f>'Допущения'!$K$6</x:f>
        <x:v>0.8</x:v>
      </x:c>
    </x:row>
    <x:row r="8">
      <x:c r="A8" s="32" t="str">
        <x:v>Новые клиенты Ядра QORSYS</x:v>
      </x:c>
      <x:c r="B8" s="34" t="n">
        <x:f>IF('Допущения'!$K$17=0,B6*B7,0)</x:f>
        <x:v>0</x:v>
      </x:c>
      <x:c r="C8" s="34" t="n">
        <x:f>IF('Допущения'!$K$17=0,C6*C7,B6*C7)</x:f>
        <x:v>0.8800000000000001</x:v>
      </x:c>
      <x:c r="D8" s="34" t="n">
        <x:f>IF('Допущения'!$K$17=0,D6*D7,C6*D7)</x:f>
        <x:v>1.3200000000000003</x:v>
      </x:c>
      <x:c r="E8" s="34" t="n">
        <x:f>IF('Допущения'!$K$17=0,E6*E7,D6*E7)</x:f>
        <x:v>1.3200000000000003</x:v>
      </x:c>
      <x:c r="F8" s="34" t="n">
        <x:f>IF('Допущения'!$K$17=0,F6*F7,E6*F7)</x:f>
        <x:v>1.7600000000000002</x:v>
      </x:c>
      <x:c r="G8" s="34" t="n">
        <x:f>IF('Допущения'!$K$17=0,G6*G7,F6*G7)</x:f>
        <x:v>1.7600000000000002</x:v>
      </x:c>
      <x:c r="H8" s="34" t="n">
        <x:f>IF('Допущения'!$K$17=0,H6*H7,G6*H7)</x:f>
        <x:v>1.7600000000000002</x:v>
      </x:c>
      <x:c r="I8" s="34" t="n">
        <x:f>IF('Допущения'!$K$17=0,I6*I7,H6*I7)</x:f>
        <x:v>2.2</x:v>
      </x:c>
      <x:c r="J8" s="34" t="n">
        <x:f>IF('Допущения'!$K$17=0,J6*J7,I6*J7)</x:f>
        <x:v>2.2</x:v>
      </x:c>
      <x:c r="K8" s="34" t="n">
        <x:f>IF('Допущения'!$K$17=0,K6*K7,J6*K7)</x:f>
        <x:v>2.2</x:v>
      </x:c>
      <x:c r="L8" s="34" t="n">
        <x:f>IF('Допущения'!$K$17=0,L6*L7,K6*L7)</x:f>
        <x:v>2.2</x:v>
      </x:c>
      <x:c r="M8" s="34" t="n">
        <x:f>IF('Допущения'!$K$17=0,M6*M7,L6*M7)</x:f>
        <x:v>2.2</x:v>
      </x:c>
      <x:c r="N8" s="34" t="n">
        <x:f>IF('Допущения'!$K$17=0,N6*N7,M6*N7)</x:f>
        <x:v>2.2</x:v>
      </x:c>
      <x:c r="O8" s="34" t="n">
        <x:f>IF('Допущения'!$K$17=0,O6*O7,N6*O7)</x:f>
        <x:v>2.6400000000000006</x:v>
      </x:c>
      <x:c r="P8" s="34" t="n">
        <x:f>IF('Допущения'!$K$17=0,P6*P7,O6*P7)</x:f>
        <x:v>2.6400000000000006</x:v>
      </x:c>
      <x:c r="Q8" s="34" t="n">
        <x:f>IF('Допущения'!$K$17=0,Q6*Q7,P6*Q7)</x:f>
        <x:v>2.6400000000000006</x:v>
      </x:c>
      <x:c r="R8" s="34" t="n">
        <x:f>IF('Допущения'!$K$17=0,R6*R7,Q6*R7)</x:f>
        <x:v>2.6400000000000006</x:v>
      </x:c>
      <x:c r="S8" s="34" t="n">
        <x:f>IF('Допущения'!$K$17=0,S6*S7,R6*S7)</x:f>
        <x:v>2.6400000000000006</x:v>
      </x:c>
      <x:c r="T8" s="34" t="n">
        <x:f>IF('Допущения'!$K$17=0,T6*T7,S6*T7)</x:f>
        <x:v>2.6400000000000006</x:v>
      </x:c>
      <x:c r="U8" s="34" t="n">
        <x:f>IF('Допущения'!$K$17=0,U6*U7,T6*U7)</x:f>
        <x:v>2.6400000000000006</x:v>
      </x:c>
      <x:c r="V8" s="34" t="n">
        <x:f>IF('Допущения'!$K$17=0,V6*V7,U6*V7)</x:f>
        <x:v>2.6400000000000006</x:v>
      </x:c>
      <x:c r="W8" s="34" t="n">
        <x:f>IF('Допущения'!$K$17=0,W6*W7,V6*W7)</x:f>
        <x:v>2.6400000000000006</x:v>
      </x:c>
      <x:c r="X8" s="34" t="n">
        <x:f>IF('Допущения'!$K$17=0,X6*X7,W6*X7)</x:f>
        <x:v>2.6400000000000006</x:v>
      </x:c>
      <x:c r="Y8" s="34" t="n">
        <x:f>IF('Допущения'!$K$17=0,Y6*Y7,X6*Y7)</x:f>
        <x:v>2.6400000000000006</x:v>
      </x:c>
      <x:c r="Z8" s="34" t="n">
        <x:f>IF('Допущения'!$K$17=0,Z6*Z7,Y6*Z7)</x:f>
        <x:v>2.6400000000000006</x:v>
      </x:c>
      <x:c r="AA8" s="34" t="n">
        <x:f>IF('Допущения'!$K$17=0,AA6*AA7,Z6*AA7)</x:f>
        <x:v>4.4</x:v>
      </x:c>
      <x:c r="AB8" s="34" t="n">
        <x:f>IF('Допущения'!$K$17=0,AB6*AB7,AA6*AB7)</x:f>
        <x:v>4.4</x:v>
      </x:c>
      <x:c r="AC8" s="34" t="n">
        <x:f>IF('Допущения'!$K$17=0,AC6*AC7,AB6*AC7)</x:f>
        <x:v>4.4</x:v>
      </x:c>
      <x:c r="AD8" s="34" t="n">
        <x:f>IF('Допущения'!$K$17=0,AD6*AD7,AC6*AD7)</x:f>
        <x:v>4.4</x:v>
      </x:c>
      <x:c r="AE8" s="34" t="n">
        <x:f>IF('Допущения'!$K$17=0,AE6*AE7,AD6*AE7)</x:f>
        <x:v>4.4</x:v>
      </x:c>
      <x:c r="AF8" s="34" t="n">
        <x:f>IF('Допущения'!$K$17=0,AF6*AF7,AE6*AF7)</x:f>
        <x:v>4.4</x:v>
      </x:c>
      <x:c r="AG8" s="34" t="n">
        <x:f>IF('Допущения'!$K$17=0,AG6*AG7,AF6*AG7)</x:f>
        <x:v>4.4</x:v>
      </x:c>
      <x:c r="AH8" s="34" t="n">
        <x:f>IF('Допущения'!$K$17=0,AH6*AH7,AG6*AH7)</x:f>
        <x:v>4.4</x:v>
      </x:c>
      <x:c r="AI8" s="34" t="n">
        <x:f>IF('Допущения'!$K$17=0,AI6*AI7,AH6*AI7)</x:f>
        <x:v>4.4</x:v>
      </x:c>
      <x:c r="AJ8" s="34" t="n">
        <x:f>IF('Допущения'!$K$17=0,AJ6*AJ7,AI6*AJ7)</x:f>
        <x:v>4.4</x:v>
      </x:c>
      <x:c r="AK8" s="34" t="n">
        <x:f>IF('Допущения'!$K$17=0,AK6*AK7,AJ6*AK7)</x:f>
        <x:v>4.4</x:v>
      </x:c>
    </x:row>
    <x:row r="9">
      <x:c r="A9" s="32" t="str">
        <x:v>Отток</x:v>
      </x:c>
      <x:c r="B9" s="34" t="n">
        <x:f>0</x:f>
        <x:v>0</x:v>
      </x:c>
      <x:c r="C9" s="34" t="n">
        <x:f>B10*'Допущения'!$K$7</x:f>
        <x:v>0</x:v>
      </x:c>
      <x:c r="D9" s="34" t="n">
        <x:f>C10*'Допущения'!$K$7</x:f>
        <x:v>0.0088</x:v>
      </x:c>
      <x:c r="E9" s="34" t="n">
        <x:f>D10*'Допущения'!$K$7</x:f>
        <x:v>0.021912000000000004</x:v>
      </x:c>
      <x:c r="F9" s="34" t="n">
        <x:f>E10*'Допущения'!$K$7</x:f>
        <x:v>0.03489288000000001</x:v>
      </x:c>
      <x:c r="G9" s="34" t="n">
        <x:f>F10*'Допущения'!$K$7</x:f>
        <x:v>0.05214395120000001</x:v>
      </x:c>
      <x:c r="H9" s="34" t="n">
        <x:f>G10*'Допущения'!$K$7</x:f>
        <x:v>0.069222511688</x:v>
      </x:c>
      <x:c r="I9" s="34" t="n">
        <x:f>H10*'Допущения'!$K$7</x:f>
        <x:v>0.08613028657112</x:v>
      </x:c>
      <x:c r="J9" s="34" t="n">
        <x:f>I10*'Допущения'!$K$7</x:f>
        <x:v>0.1072689837054088</x:v>
      </x:c>
      <x:c r="K9" s="34" t="n">
        <x:f>J10*'Допущения'!$K$7</x:f>
        <x:v>0.1281962938683547</x:v>
      </x:c>
      <x:c r="L9" s="34" t="n">
        <x:f>K10*'Допущения'!$K$7</x:f>
        <x:v>0.14891433092967118</x:v>
      </x:c>
      <x:c r="M9" s="34" t="n">
        <x:f>L10*'Допущения'!$K$7</x:f>
        <x:v>0.16942518762037448</x:v>
      </x:c>
      <x:c r="N9" s="34" t="n">
        <x:f>M10*'Допущения'!$K$7</x:f>
        <x:v>0.18973093574417074</x:v>
      </x:c>
      <x:c r="O9" s="34" t="n">
        <x:f>N10*'Допущения'!$K$7</x:f>
        <x:v>0.20983362638672906</x:v>
      </x:c>
      <x:c r="P9" s="34" t="n">
        <x:f>O10*'Допущения'!$K$7</x:f>
        <x:v>0.23413529012286177</x:v>
      </x:c>
      <x:c r="Q9" s="34" t="n">
        <x:f>P10*'Допущения'!$K$7</x:f>
        <x:v>0.25819393722163314</x:v>
      </x:c>
      <x:c r="R9" s="34" t="n">
        <x:f>Q10*'Допущения'!$K$7</x:f>
        <x:v>0.28201199784941683</x:v>
      </x:c>
      <x:c r="S9" s="34" t="n">
        <x:f>R10*'Допущения'!$K$7</x:f>
        <x:v>0.3055918778709227</x:v>
      </x:c>
      <x:c r="T9" s="34" t="n">
        <x:f>S10*'Допущения'!$K$7</x:f>
        <x:v>0.32893595909221346</x:v>
      </x:c>
      <x:c r="U9" s="34" t="n">
        <x:f>T10*'Допущения'!$K$7</x:f>
        <x:v>0.35204659950129136</x:v>
      </x:c>
      <x:c r="V9" s="34" t="n">
        <x:f>U10*'Допущения'!$K$7</x:f>
        <x:v>0.3749261335062784</x:v>
      </x:c>
      <x:c r="W9" s="34" t="n">
        <x:f>V10*'Допущения'!$K$7</x:f>
        <x:v>0.3975768721712156</x:v>
      </x:c>
      <x:c r="X9" s="34" t="n">
        <x:f>W10*'Допущения'!$K$7</x:f>
        <x:v>0.42000110344950353</x:v>
      </x:c>
      <x:c r="Y9" s="34" t="n">
        <x:f>X10*'Допущения'!$K$7</x:f>
        <x:v>0.4422010924150085</x:v>
      </x:c>
      <x:c r="Z9" s="34" t="n">
        <x:f>Y10*'Допущения'!$K$7</x:f>
        <x:v>0.4641790814908584</x:v>
      </x:c>
      <x:c r="AA9" s="34" t="n">
        <x:f>Z10*'Допущения'!$K$7</x:f>
        <x:v>0.4859372906759498</x:v>
      </x:c>
      <x:c r="AB9" s="34" t="n">
        <x:f>AA10*'Допущения'!$K$7</x:f>
        <x:v>0.5250779177691903</x:v>
      </x:c>
      <x:c r="AC9" s="34" t="n">
        <x:f>AB10*'Допущения'!$K$7</x:f>
        <x:v>0.5638271385914984</x:v>
      </x:c>
      <x:c r="AD9" s="34" t="n">
        <x:f>AC10*'Допущения'!$K$7</x:f>
        <x:v>0.6021888672055834</x:v>
      </x:c>
      <x:c r="AE9" s="34" t="n">
        <x:f>AD10*'Допущения'!$K$7</x:f>
        <x:v>0.6401669785335276</x:v>
      </x:c>
      <x:c r="AF9" s="34" t="n">
        <x:f>AE10*'Допущения'!$K$7</x:f>
        <x:v>0.6777653087481923</x:v>
      </x:c>
      <x:c r="AG9" s="34" t="n">
        <x:f>AF10*'Допущения'!$K$7</x:f>
        <x:v>0.7149876556607104</x:v>
      </x:c>
      <x:c r="AH9" s="34" t="n">
        <x:f>AG10*'Допущения'!$K$7</x:f>
        <x:v>0.7518377791041034</x:v>
      </x:c>
      <x:c r="AI9" s="34" t="n">
        <x:f>AH10*'Допущения'!$K$7</x:f>
        <x:v>0.7883194013130624</x:v>
      </x:c>
      <x:c r="AJ9" s="34" t="n">
        <x:f>AI10*'Допущения'!$K$7</x:f>
        <x:v>0.8244362072999318</x:v>
      </x:c>
      <x:c r="AK9" s="34" t="n">
        <x:f>AJ10*'Допущения'!$K$7</x:f>
        <x:v>0.8601918452269327</x:v>
      </x:c>
    </x:row>
    <x:row r="10">
      <x:c r="A10" s="32" t="str">
        <x:v>Активные клиенты Ядра QORSYS</x:v>
      </x:c>
      <x:c r="B10" s="34" t="n">
        <x:f>B8</x:f>
        <x:v>0</x:v>
      </x:c>
      <x:c r="C10" s="34" t="n">
        <x:f>MAX(0,B10+C8-C9)</x:f>
        <x:v>0.8800000000000001</x:v>
      </x:c>
      <x:c r="D10" s="34" t="n">
        <x:f>MAX(0,C10+D8-D9)</x:f>
        <x:v>2.1912000000000003</x:v>
      </x:c>
      <x:c r="E10" s="34" t="n">
        <x:f>MAX(0,D10+E8-E9)</x:f>
        <x:v>3.4892880000000006</x:v>
      </x:c>
      <x:c r="F10" s="34" t="n">
        <x:f>MAX(0,E10+F8-F9)</x:f>
        <x:v>5.214395120000001</x:v>
      </x:c>
      <x:c r="G10" s="34" t="n">
        <x:f>MAX(0,F10+G8-G9)</x:f>
        <x:v>6.922251168800001</x:v>
      </x:c>
      <x:c r="H10" s="34" t="n">
        <x:f>MAX(0,G10+H8-H9)</x:f>
        <x:v>8.613028657112</x:v>
      </x:c>
      <x:c r="I10" s="34" t="n">
        <x:f>MAX(0,H10+I8-I9)</x:f>
        <x:v>10.72689837054088</x:v>
      </x:c>
      <x:c r="J10" s="34" t="n">
        <x:f>MAX(0,I10+J8-J9)</x:f>
        <x:v>12.819629386835471</x:v>
      </x:c>
      <x:c r="K10" s="34" t="n">
        <x:f>MAX(0,J10+K8-K9)</x:f>
        <x:v>14.891433092967118</x:v>
      </x:c>
      <x:c r="L10" s="34" t="n">
        <x:f>MAX(0,K10+L8-L9)</x:f>
        <x:v>16.942518762037448</x:v>
      </x:c>
      <x:c r="M10" s="34" t="n">
        <x:f>MAX(0,L10+M8-M9)</x:f>
        <x:v>18.973093574417074</x:v>
      </x:c>
      <x:c r="N10" s="34" t="n">
        <x:f>MAX(0,M10+N8-N9)</x:f>
        <x:v>20.983362638672904</x:v>
      </x:c>
      <x:c r="O10" s="34" t="n">
        <x:f>MAX(0,N10+O8-O9)</x:f>
        <x:v>23.413529012286176</x:v>
      </x:c>
      <x:c r="P10" s="34" t="n">
        <x:f>MAX(0,O10+P8-P9)</x:f>
        <x:v>25.819393722163316</x:v>
      </x:c>
      <x:c r="Q10" s="34" t="n">
        <x:f>MAX(0,P10+Q8-Q9)</x:f>
        <x:v>28.201199784941682</x:v>
      </x:c>
      <x:c r="R10" s="34" t="n">
        <x:f>MAX(0,Q10+R8-R9)</x:f>
        <x:v>30.559187787092267</x:v>
      </x:c>
      <x:c r="S10" s="34" t="n">
        <x:f>MAX(0,R10+S8-S9)</x:f>
        <x:v>32.89359590922135</x:v>
      </x:c>
      <x:c r="T10" s="34" t="n">
        <x:f>MAX(0,S10+T8-T9)</x:f>
        <x:v>35.204659950129134</x:v>
      </x:c>
      <x:c r="U10" s="34" t="n">
        <x:f>MAX(0,T10+U8-U9)</x:f>
        <x:v>37.49261335062784</x:v>
      </x:c>
      <x:c r="V10" s="34" t="n">
        <x:f>MAX(0,U10+V8-V9)</x:f>
        <x:v>39.757687217121564</x:v>
      </x:c>
      <x:c r="W10" s="34" t="n">
        <x:f>MAX(0,V10+W8-W9)</x:f>
        <x:v>42.00011034495035</x:v>
      </x:c>
      <x:c r="X10" s="34" t="n">
        <x:f>MAX(0,W10+X8-X9)</x:f>
        <x:v>44.22010924150085</x:v>
      </x:c>
      <x:c r="Y10" s="34" t="n">
        <x:f>MAX(0,X10+Y8-Y9)</x:f>
        <x:v>46.41790814908584</x:v>
      </x:c>
      <x:c r="Z10" s="34" t="n">
        <x:f>MAX(0,Y10+Z8-Z9)</x:f>
        <x:v>48.59372906759498</x:v>
      </x:c>
      <x:c r="AA10" s="34" t="n">
        <x:f>MAX(0,Z10+AA8-AA9)</x:f>
        <x:v>52.50779177691903</x:v>
      </x:c>
      <x:c r="AB10" s="34" t="n">
        <x:f>MAX(0,AA10+AB8-AB9)</x:f>
        <x:v>56.38271385914984</x:v>
      </x:c>
      <x:c r="AC10" s="34" t="n">
        <x:f>MAX(0,AB10+AC8-AC9)</x:f>
        <x:v>60.21888672055834</x:v>
      </x:c>
      <x:c r="AD10" s="34" t="n">
        <x:f>MAX(0,AC10+AD8-AD9)</x:f>
        <x:v>64.01669785335275</x:v>
      </x:c>
      <x:c r="AE10" s="34" t="n">
        <x:f>MAX(0,AD10+AE8-AE9)</x:f>
        <x:v>67.77653087481923</x:v>
      </x:c>
      <x:c r="AF10" s="34" t="n">
        <x:f>MAX(0,AE10+AF8-AF9)</x:f>
        <x:v>71.49876556607104</x:v>
      </x:c>
      <x:c r="AG10" s="34" t="n">
        <x:f>MAX(0,AF10+AG8-AG9)</x:f>
        <x:v>75.18377791041034</x:v>
      </x:c>
      <x:c r="AH10" s="34" t="n">
        <x:f>MAX(0,AG10+AH8-AH9)</x:f>
        <x:v>78.83194013130624</x:v>
      </x:c>
      <x:c r="AI10" s="34" t="n">
        <x:f>MAX(0,AH10+AI8-AI9)</x:f>
        <x:v>82.44362072999319</x:v>
      </x:c>
      <x:c r="AJ10" s="34" t="n">
        <x:f>MAX(0,AI10+AJ8-AJ9)</x:f>
        <x:v>86.01918452269327</x:v>
      </x:c>
      <x:c r="AK10" s="34" t="n">
        <x:f>MAX(0,AJ10+AK8-AK9)</x:f>
        <x:v>89.55899267746634</x:v>
      </x:c>
    </x:row>
    <x:row r="11">
      <x:c r="A11" s="32" t="str">
        <x:v>Цена Ядра QORSYS / мес., ₽</x:v>
      </x:c>
      <x:c r="B11" s="38" t="n">
        <x:f>'Допущения'!$K$8</x:f>
        <x:v>250000</x:v>
      </x:c>
      <x:c r="C11" s="38" t="n">
        <x:f>'Допущения'!$K$8</x:f>
        <x:v>250000</x:v>
      </x:c>
      <x:c r="D11" s="38" t="n">
        <x:f>'Допущения'!$K$8</x:f>
        <x:v>250000</x:v>
      </x:c>
      <x:c r="E11" s="38" t="n">
        <x:f>'Допущения'!$K$8</x:f>
        <x:v>250000</x:v>
      </x:c>
      <x:c r="F11" s="38" t="n">
        <x:f>'Допущения'!$K$8</x:f>
        <x:v>250000</x:v>
      </x:c>
      <x:c r="G11" s="38" t="n">
        <x:f>'Допущения'!$K$8</x:f>
        <x:v>250000</x:v>
      </x:c>
      <x:c r="H11" s="38" t="n">
        <x:f>'Допущения'!$K$8</x:f>
        <x:v>250000</x:v>
      </x:c>
      <x:c r="I11" s="38" t="n">
        <x:f>'Допущения'!$K$8</x:f>
        <x:v>250000</x:v>
      </x:c>
      <x:c r="J11" s="38" t="n">
        <x:f>'Допущения'!$K$8</x:f>
        <x:v>250000</x:v>
      </x:c>
      <x:c r="K11" s="38" t="n">
        <x:f>'Допущения'!$K$8</x:f>
        <x:v>250000</x:v>
      </x:c>
      <x:c r="L11" s="38" t="n">
        <x:f>'Допущения'!$K$8</x:f>
        <x:v>250000</x:v>
      </x:c>
      <x:c r="M11" s="38" t="n">
        <x:f>'Допущения'!$K$8</x:f>
        <x:v>250000</x:v>
      </x:c>
      <x:c r="N11" s="38" t="n">
        <x:f>'Допущения'!$K$8</x:f>
        <x:v>250000</x:v>
      </x:c>
      <x:c r="O11" s="38" t="n">
        <x:f>'Допущения'!$K$8</x:f>
        <x:v>250000</x:v>
      </x:c>
      <x:c r="P11" s="38" t="n">
        <x:f>'Допущения'!$K$8</x:f>
        <x:v>250000</x:v>
      </x:c>
      <x:c r="Q11" s="38" t="n">
        <x:f>'Допущения'!$K$8</x:f>
        <x:v>250000</x:v>
      </x:c>
      <x:c r="R11" s="38" t="n">
        <x:f>'Допущения'!$K$8</x:f>
        <x:v>250000</x:v>
      </x:c>
      <x:c r="S11" s="38" t="n">
        <x:f>'Допущения'!$K$8</x:f>
        <x:v>250000</x:v>
      </x:c>
      <x:c r="T11" s="38" t="n">
        <x:f>'Допущения'!$K$8</x:f>
        <x:v>250000</x:v>
      </x:c>
      <x:c r="U11" s="38" t="n">
        <x:f>'Допущения'!$K$8</x:f>
        <x:v>250000</x:v>
      </x:c>
      <x:c r="V11" s="38" t="n">
        <x:f>'Допущения'!$K$8</x:f>
        <x:v>250000</x:v>
      </x:c>
      <x:c r="W11" s="38" t="n">
        <x:f>'Допущения'!$K$8</x:f>
        <x:v>250000</x:v>
      </x:c>
      <x:c r="X11" s="38" t="n">
        <x:f>'Допущения'!$K$8</x:f>
        <x:v>250000</x:v>
      </x:c>
      <x:c r="Y11" s="38" t="n">
        <x:f>'Допущения'!$K$8</x:f>
        <x:v>250000</x:v>
      </x:c>
      <x:c r="Z11" s="38" t="n">
        <x:f>'Допущения'!$K$8</x:f>
        <x:v>250000</x:v>
      </x:c>
      <x:c r="AA11" s="38" t="n">
        <x:f>'Допущения'!$K$8</x:f>
        <x:v>250000</x:v>
      </x:c>
      <x:c r="AB11" s="38" t="n">
        <x:f>'Допущения'!$K$8</x:f>
        <x:v>250000</x:v>
      </x:c>
      <x:c r="AC11" s="38" t="n">
        <x:f>'Допущения'!$K$8</x:f>
        <x:v>250000</x:v>
      </x:c>
      <x:c r="AD11" s="38" t="n">
        <x:f>'Допущения'!$K$8</x:f>
        <x:v>250000</x:v>
      </x:c>
      <x:c r="AE11" s="38" t="n">
        <x:f>'Допущения'!$K$8</x:f>
        <x:v>250000</x:v>
      </x:c>
      <x:c r="AF11" s="38" t="n">
        <x:f>'Допущения'!$K$8</x:f>
        <x:v>250000</x:v>
      </x:c>
      <x:c r="AG11" s="38" t="n">
        <x:f>'Допущения'!$K$8</x:f>
        <x:v>250000</x:v>
      </x:c>
      <x:c r="AH11" s="38" t="n">
        <x:f>'Допущения'!$K$8</x:f>
        <x:v>250000</x:v>
      </x:c>
      <x:c r="AI11" s="38" t="n">
        <x:f>'Допущения'!$K$8</x:f>
        <x:v>250000</x:v>
      </x:c>
      <x:c r="AJ11" s="38" t="n">
        <x:f>'Допущения'!$K$8</x:f>
        <x:v>250000</x:v>
      </x:c>
      <x:c r="AK11" s="38" t="n">
        <x:f>'Допущения'!$K$8</x:f>
        <x:v>250000</x:v>
      </x:c>
    </x:row>
    <x:row r="12">
      <x:c r="A12" s="32" t="str">
        <x:v>Повторяющаяся выручка Ядра QORSYS, ₽</x:v>
      </x:c>
      <x:c r="B12" s="38" t="n">
        <x:f>B10*B11</x:f>
        <x:v>0</x:v>
      </x:c>
      <x:c r="C12" s="38" t="n">
        <x:f>C10*C11</x:f>
        <x:v>220000.00000000003</x:v>
      </x:c>
      <x:c r="D12" s="38" t="n">
        <x:f>D10*D11</x:f>
        <x:v>547800.0000000001</x:v>
      </x:c>
      <x:c r="E12" s="38" t="n">
        <x:f>E10*E11</x:f>
        <x:v>872322.0000000001</x:v>
      </x:c>
      <x:c r="F12" s="38" t="n">
        <x:f>F10*F11</x:f>
        <x:v>1303598.7800000003</x:v>
      </x:c>
      <x:c r="G12" s="38" t="n">
        <x:f>G10*G11</x:f>
        <x:v>1730562.7922000003</x:v>
      </x:c>
      <x:c r="H12" s="38" t="n">
        <x:f>H10*H11</x:f>
        <x:v>2153257.164278</x:v>
      </x:c>
      <x:c r="I12" s="38" t="n">
        <x:f>I10*I11</x:f>
        <x:v>2681724.59263522</x:v>
      </x:c>
      <x:c r="J12" s="38" t="n">
        <x:f>J10*J11</x:f>
        <x:v>3204907.3467088677</x:v>
      </x:c>
      <x:c r="K12" s="38" t="n">
        <x:f>K10*K11</x:f>
        <x:v>3722858.2732417793</x:v>
      </x:c>
      <x:c r="L12" s="38" t="n">
        <x:f>L10*L11</x:f>
        <x:v>4235629.690509362</x:v>
      </x:c>
      <x:c r="M12" s="38" t="n">
        <x:f>M10*M11</x:f>
        <x:v>4743273.393604268</x:v>
      </x:c>
      <x:c r="N12" s="38" t="n">
        <x:f>N10*N11</x:f>
        <x:v>5245840.659668226</x:v>
      </x:c>
      <x:c r="O12" s="38" t="n">
        <x:f>O10*O11</x:f>
        <x:v>5853382.253071544</x:v>
      </x:c>
      <x:c r="P12" s="38" t="n">
        <x:f>P10*P11</x:f>
        <x:v>6454848.430540829</x:v>
      </x:c>
      <x:c r="Q12" s="38" t="n">
        <x:f>Q10*Q11</x:f>
        <x:v>7050299.94623542</x:v>
      </x:c>
      <x:c r="R12" s="38" t="n">
        <x:f>R10*R11</x:f>
        <x:v>7639796.946773066</x:v>
      </x:c>
      <x:c r="S12" s="38" t="n">
        <x:f>S10*S11</x:f>
        <x:v>8223398.977305337</x:v>
      </x:c>
      <x:c r="T12" s="38" t="n">
        <x:f>T10*T11</x:f>
        <x:v>8801164.987532284</x:v>
      </x:c>
      <x:c r="U12" s="38" t="n">
        <x:f>U10*U11</x:f>
        <x:v>9373153.33765696</x:v>
      </x:c>
      <x:c r="V12" s="38" t="n">
        <x:f>V10*V11</x:f>
        <x:v>9939421.804280391</x:v>
      </x:c>
      <x:c r="W12" s="38" t="n">
        <x:f>W10*W11</x:f>
        <x:v>10500027.586237587</x:v>
      </x:c>
      <x:c r="X12" s="38" t="n">
        <x:f>X10*X11</x:f>
        <x:v>11055027.310375212</x:v>
      </x:c>
      <x:c r="Y12" s="38" t="n">
        <x:f>Y10*Y11</x:f>
        <x:v>11604477.03727146</x:v>
      </x:c>
      <x:c r="Z12" s="38" t="n">
        <x:f>Z10*Z11</x:f>
        <x:v>12148432.266898744</x:v>
      </x:c>
      <x:c r="AA12" s="38" t="n">
        <x:f>AA10*AA11</x:f>
        <x:v>13126947.944229757</x:v>
      </x:c>
      <x:c r="AB12" s="38" t="n">
        <x:f>AB10*AB11</x:f>
        <x:v>14095678.464787459</x:v>
      </x:c>
      <x:c r="AC12" s="38" t="n">
        <x:f>AC10*AC11</x:f>
        <x:v>15054721.680139584</x:v>
      </x:c>
      <x:c r="AD12" s="38" t="n">
        <x:f>AD10*AD11</x:f>
        <x:v>16004174.463338189</x:v>
      </x:c>
      <x:c r="AE12" s="38" t="n">
        <x:f>AE10*AE11</x:f>
        <x:v>16944132.71870481</x:v>
      </x:c>
      <x:c r="AF12" s="38" t="n">
        <x:f>AF10*AF11</x:f>
        <x:v>17874691.391517762</x:v>
      </x:c>
      <x:c r="AG12" s="38" t="n">
        <x:f>AG10*AG11</x:f>
        <x:v>18795944.477602586</x:v>
      </x:c>
      <x:c r="AH12" s="38" t="n">
        <x:f>AH10*AH11</x:f>
        <x:v>19707985.03282656</x:v>
      </x:c>
      <x:c r="AI12" s="38" t="n">
        <x:f>AI10*AI11</x:f>
        <x:v>20610905.182498295</x:v>
      </x:c>
      <x:c r="AJ12" s="38" t="n">
        <x:f>AJ10*AJ11</x:f>
        <x:v>21504796.130673315</x:v>
      </x:c>
      <x:c r="AK12" s="38" t="n">
        <x:f>AK10*AK11</x:f>
        <x:v>22389748.169366583</x:v>
      </x:c>
    </x:row>
    <x:row r="13">
      <x:c r="A13" s="32" t="str">
        <x:v>Годовая повторяющаяся выручка, ₽</x:v>
      </x:c>
      <x:c r="B13" s="38" t="n">
        <x:f>B12*12</x:f>
        <x:v>0</x:v>
      </x:c>
      <x:c r="C13" s="38" t="n">
        <x:f>C12*12</x:f>
        <x:v>2640000.0000000005</x:v>
      </x:c>
      <x:c r="D13" s="38" t="n">
        <x:f>D12*12</x:f>
        <x:v>6573600.000000002</x:v>
      </x:c>
      <x:c r="E13" s="38" t="n">
        <x:f>E12*12</x:f>
        <x:v>10467864.000000002</x:v>
      </x:c>
      <x:c r="F13" s="38" t="n">
        <x:f>F12*12</x:f>
        <x:v>15643185.360000003</x:v>
      </x:c>
      <x:c r="G13" s="38" t="n">
        <x:f>G12*12</x:f>
        <x:v>20766753.506400004</x:v>
      </x:c>
      <x:c r="H13" s="38" t="n">
        <x:f>H12*12</x:f>
        <x:v>25839085.971336</x:v>
      </x:c>
      <x:c r="I13" s="38" t="n">
        <x:f>I12*12</x:f>
        <x:v>32180695.11162264</x:v>
      </x:c>
      <x:c r="J13" s="38" t="n">
        <x:f>J12*12</x:f>
        <x:v>38458888.16050641</x:v>
      </x:c>
      <x:c r="K13" s="38" t="n">
        <x:f>K12*12</x:f>
        <x:v>44674299.27890135</x:v>
      </x:c>
      <x:c r="L13" s="38" t="n">
        <x:f>L12*12</x:f>
        <x:v>50827556.286112346</x:v>
      </x:c>
      <x:c r="M13" s="38" t="n">
        <x:f>M12*12</x:f>
        <x:v>56919280.72325122</x:v>
      </x:c>
      <x:c r="N13" s="38" t="n">
        <x:f>N12*12</x:f>
        <x:v>62950087.91601871</x:v>
      </x:c>
      <x:c r="O13" s="38" t="n">
        <x:f>O12*12</x:f>
        <x:v>70240587.03685853</x:v>
      </x:c>
      <x:c r="P13" s="38" t="n">
        <x:f>P12*12</x:f>
        <x:v>77458181.16648994</x:v>
      </x:c>
      <x:c r="Q13" s="38" t="n">
        <x:f>Q12*12</x:f>
        <x:v>84603599.35482505</x:v>
      </x:c>
      <x:c r="R13" s="38" t="n">
        <x:f>R12*12</x:f>
        <x:v>91677563.36127679</x:v>
      </x:c>
      <x:c r="S13" s="38" t="n">
        <x:f>S12*12</x:f>
        <x:v>98680787.72766404</x:v>
      </x:c>
      <x:c r="T13" s="38" t="n">
        <x:f>T12*12</x:f>
        <x:v>105613979.85038741</x:v>
      </x:c>
      <x:c r="U13" s="38" t="n">
        <x:f>U12*12</x:f>
        <x:v>112477840.05188352</x:v>
      </x:c>
      <x:c r="V13" s="38" t="n">
        <x:f>V12*12</x:f>
        <x:v>119273061.65136468</x:v>
      </x:c>
      <x:c r="W13" s="38" t="n">
        <x:f>W12*12</x:f>
        <x:v>126000331.03485104</x:v>
      </x:c>
      <x:c r="X13" s="38" t="n">
        <x:f>X12*12</x:f>
        <x:v>132660327.72450253</x:v>
      </x:c>
      <x:c r="Y13" s="38" t="n">
        <x:f>Y12*12</x:f>
        <x:v>139253724.44725752</x:v>
      </x:c>
      <x:c r="Z13" s="38" t="n">
        <x:f>Z12*12</x:f>
        <x:v>145781187.20278493</x:v>
      </x:c>
      <x:c r="AA13" s="38" t="n">
        <x:f>AA12*12</x:f>
        <x:v>157523375.33075708</x:v>
      </x:c>
      <x:c r="AB13" s="38" t="n">
        <x:f>AB12*12</x:f>
        <x:v>169148141.5774495</x:v>
      </x:c>
      <x:c r="AC13" s="38" t="n">
        <x:f>AC12*12</x:f>
        <x:v>180656660.161675</x:v>
      </x:c>
      <x:c r="AD13" s="38" t="n">
        <x:f>AD12*12</x:f>
        <x:v>192050093.56005827</x:v>
      </x:c>
      <x:c r="AE13" s="38" t="n">
        <x:f>AE12*12</x:f>
        <x:v>203329592.62445772</x:v>
      </x:c>
      <x:c r="AF13" s="38" t="n">
        <x:f>AF12*12</x:f>
        <x:v>214496296.69821316</x:v>
      </x:c>
      <x:c r="AG13" s="38" t="n">
        <x:f>AG12*12</x:f>
        <x:v>225551333.73123103</x:v>
      </x:c>
      <x:c r="AH13" s="38" t="n">
        <x:f>AH12*12</x:f>
        <x:v>236495820.39391875</x:v>
      </x:c>
      <x:c r="AI13" s="38" t="n">
        <x:f>AI12*12</x:f>
        <x:v>247330862.18997955</x:v>
      </x:c>
      <x:c r="AJ13" s="38" t="n">
        <x:f>AJ12*12</x:f>
        <x:v>258057553.56807977</x:v>
      </x:c>
      <x:c r="AK13" s="38" t="n">
        <x:f>AK12*12</x:f>
        <x:v>268676978.032399</x:v>
      </x:c>
    </x:row>
    <x:row r="14">
      <x:c r="A14" s="32" t="str">
        <x:v>Средний чек оптимизации, ₽</x:v>
      </x:c>
      <x:c r="B14" s="38" t="n">
        <x:f>'Допущения'!$K$9</x:f>
        <x:v>1500000</x:v>
      </x:c>
      <x:c r="C14" s="38" t="n">
        <x:f>'Допущения'!$K$9</x:f>
        <x:v>1500000</x:v>
      </x:c>
      <x:c r="D14" s="38" t="n">
        <x:f>'Допущения'!$K$9</x:f>
        <x:v>1500000</x:v>
      </x:c>
      <x:c r="E14" s="38" t="n">
        <x:f>'Допущения'!$K$9</x:f>
        <x:v>1500000</x:v>
      </x:c>
      <x:c r="F14" s="38" t="n">
        <x:f>'Допущения'!$K$9</x:f>
        <x:v>1500000</x:v>
      </x:c>
      <x:c r="G14" s="38" t="n">
        <x:f>'Допущения'!$K$9</x:f>
        <x:v>1500000</x:v>
      </x:c>
      <x:c r="H14" s="38" t="n">
        <x:f>'Допущения'!$K$9</x:f>
        <x:v>1500000</x:v>
      </x:c>
      <x:c r="I14" s="38" t="n">
        <x:f>'Допущения'!$K$9</x:f>
        <x:v>1500000</x:v>
      </x:c>
      <x:c r="J14" s="38" t="n">
        <x:f>'Допущения'!$K$9</x:f>
        <x:v>1500000</x:v>
      </x:c>
      <x:c r="K14" s="38" t="n">
        <x:f>'Допущения'!$K$9</x:f>
        <x:v>1500000</x:v>
      </x:c>
      <x:c r="L14" s="38" t="n">
        <x:f>'Допущения'!$K$9</x:f>
        <x:v>1500000</x:v>
      </x:c>
      <x:c r="M14" s="38" t="n">
        <x:f>'Допущения'!$K$9</x:f>
        <x:v>1500000</x:v>
      </x:c>
      <x:c r="N14" s="38" t="n">
        <x:f>'Допущения'!$K$9</x:f>
        <x:v>1500000</x:v>
      </x:c>
      <x:c r="O14" s="38" t="n">
        <x:f>'Допущения'!$K$9</x:f>
        <x:v>1500000</x:v>
      </x:c>
      <x:c r="P14" s="38" t="n">
        <x:f>'Допущения'!$K$9</x:f>
        <x:v>1500000</x:v>
      </x:c>
      <x:c r="Q14" s="38" t="n">
        <x:f>'Допущения'!$K$9</x:f>
        <x:v>1500000</x:v>
      </x:c>
      <x:c r="R14" s="38" t="n">
        <x:f>'Допущения'!$K$9</x:f>
        <x:v>1500000</x:v>
      </x:c>
      <x:c r="S14" s="38" t="n">
        <x:f>'Допущения'!$K$9</x:f>
        <x:v>1500000</x:v>
      </x:c>
      <x:c r="T14" s="38" t="n">
        <x:f>'Допущения'!$K$9</x:f>
        <x:v>1500000</x:v>
      </x:c>
      <x:c r="U14" s="38" t="n">
        <x:f>'Допущения'!$K$9</x:f>
        <x:v>1500000</x:v>
      </x:c>
      <x:c r="V14" s="38" t="n">
        <x:f>'Допущения'!$K$9</x:f>
        <x:v>1500000</x:v>
      </x:c>
      <x:c r="W14" s="38" t="n">
        <x:f>'Допущения'!$K$9</x:f>
        <x:v>1500000</x:v>
      </x:c>
      <x:c r="X14" s="38" t="n">
        <x:f>'Допущения'!$K$9</x:f>
        <x:v>1500000</x:v>
      </x:c>
      <x:c r="Y14" s="38" t="n">
        <x:f>'Допущения'!$K$9</x:f>
        <x:v>1500000</x:v>
      </x:c>
      <x:c r="Z14" s="38" t="n">
        <x:f>'Допущения'!$K$9</x:f>
        <x:v>1500000</x:v>
      </x:c>
      <x:c r="AA14" s="38" t="n">
        <x:f>'Допущения'!$K$9</x:f>
        <x:v>1500000</x:v>
      </x:c>
      <x:c r="AB14" s="38" t="n">
        <x:f>'Допущения'!$K$9</x:f>
        <x:v>1500000</x:v>
      </x:c>
      <x:c r="AC14" s="38" t="n">
        <x:f>'Допущения'!$K$9</x:f>
        <x:v>1500000</x:v>
      </x:c>
      <x:c r="AD14" s="38" t="n">
        <x:f>'Допущения'!$K$9</x:f>
        <x:v>1500000</x:v>
      </x:c>
      <x:c r="AE14" s="38" t="n">
        <x:f>'Допущения'!$K$9</x:f>
        <x:v>1500000</x:v>
      </x:c>
      <x:c r="AF14" s="38" t="n">
        <x:f>'Допущения'!$K$9</x:f>
        <x:v>1500000</x:v>
      </x:c>
      <x:c r="AG14" s="38" t="n">
        <x:f>'Допущения'!$K$9</x:f>
        <x:v>1500000</x:v>
      </x:c>
      <x:c r="AH14" s="38" t="n">
        <x:f>'Допущения'!$K$9</x:f>
        <x:v>1500000</x:v>
      </x:c>
      <x:c r="AI14" s="38" t="n">
        <x:f>'Допущения'!$K$9</x:f>
        <x:v>1500000</x:v>
      </x:c>
      <x:c r="AJ14" s="38" t="n">
        <x:f>'Допущения'!$K$9</x:f>
        <x:v>1500000</x:v>
      </x:c>
      <x:c r="AK14" s="38" t="n">
        <x:f>'Допущения'!$K$9</x:f>
        <x:v>1500000</x:v>
      </x:c>
    </x:row>
    <x:row r="15">
      <x:c r="A15" s="32" t="str">
        <x:v>Выручка оптимизаций, ₽</x:v>
      </x:c>
      <x:c r="B15" s="38" t="n">
        <x:f>B6*B14</x:f>
        <x:v>1650000.0000000002</x:v>
      </x:c>
      <x:c r="C15" s="38" t="n">
        <x:f>C6*C14</x:f>
        <x:v>2475000</x:v>
      </x:c>
      <x:c r="D15" s="38" t="n">
        <x:f>D6*D14</x:f>
        <x:v>2475000</x:v>
      </x:c>
      <x:c r="E15" s="38" t="n">
        <x:f>E6*E14</x:f>
        <x:v>3300000.0000000005</x:v>
      </x:c>
      <x:c r="F15" s="38" t="n">
        <x:f>F6*F14</x:f>
        <x:v>3300000.0000000005</x:v>
      </x:c>
      <x:c r="G15" s="38" t="n">
        <x:f>G6*G14</x:f>
        <x:v>3300000.0000000005</x:v>
      </x:c>
      <x:c r="H15" s="38" t="n">
        <x:f>H6*H14</x:f>
        <x:v>4125000</x:v>
      </x:c>
      <x:c r="I15" s="38" t="n">
        <x:f>I6*I14</x:f>
        <x:v>4125000</x:v>
      </x:c>
      <x:c r="J15" s="38" t="n">
        <x:f>J6*J14</x:f>
        <x:v>4125000</x:v>
      </x:c>
      <x:c r="K15" s="38" t="n">
        <x:f>K6*K14</x:f>
        <x:v>4125000</x:v>
      </x:c>
      <x:c r="L15" s="38" t="n">
        <x:f>L6*L14</x:f>
        <x:v>4125000</x:v>
      </x:c>
      <x:c r="M15" s="38" t="n">
        <x:f>M6*M14</x:f>
        <x:v>4125000</x:v>
      </x:c>
      <x:c r="N15" s="38" t="n">
        <x:f>N6*N14</x:f>
        <x:v>4950000</x:v>
      </x:c>
      <x:c r="O15" s="38" t="n">
        <x:f>O6*O14</x:f>
        <x:v>4950000</x:v>
      </x:c>
      <x:c r="P15" s="38" t="n">
        <x:f>P6*P14</x:f>
        <x:v>4950000</x:v>
      </x:c>
      <x:c r="Q15" s="38" t="n">
        <x:f>Q6*Q14</x:f>
        <x:v>4950000</x:v>
      </x:c>
      <x:c r="R15" s="38" t="n">
        <x:f>R6*R14</x:f>
        <x:v>4950000</x:v>
      </x:c>
      <x:c r="S15" s="38" t="n">
        <x:f>S6*S14</x:f>
        <x:v>4950000</x:v>
      </x:c>
      <x:c r="T15" s="38" t="n">
        <x:f>T6*T14</x:f>
        <x:v>4950000</x:v>
      </x:c>
      <x:c r="U15" s="38" t="n">
        <x:f>U6*U14</x:f>
        <x:v>4950000</x:v>
      </x:c>
      <x:c r="V15" s="38" t="n">
        <x:f>V6*V14</x:f>
        <x:v>4950000</x:v>
      </x:c>
      <x:c r="W15" s="38" t="n">
        <x:f>W6*W14</x:f>
        <x:v>4950000</x:v>
      </x:c>
      <x:c r="X15" s="38" t="n">
        <x:f>X6*X14</x:f>
        <x:v>4950000</x:v>
      </x:c>
      <x:c r="Y15" s="38" t="n">
        <x:f>Y6*Y14</x:f>
        <x:v>4950000</x:v>
      </x:c>
      <x:c r="Z15" s="38" t="n">
        <x:f>Z6*Z14</x:f>
        <x:v>8250000</x:v>
      </x:c>
      <x:c r="AA15" s="38" t="n">
        <x:f>AA6*AA14</x:f>
        <x:v>8250000</x:v>
      </x:c>
      <x:c r="AB15" s="38" t="n">
        <x:f>AB6*AB14</x:f>
        <x:v>8250000</x:v>
      </x:c>
      <x:c r="AC15" s="38" t="n">
        <x:f>AC6*AC14</x:f>
        <x:v>8250000</x:v>
      </x:c>
      <x:c r="AD15" s="38" t="n">
        <x:f>AD6*AD14</x:f>
        <x:v>8250000</x:v>
      </x:c>
      <x:c r="AE15" s="38" t="n">
        <x:f>AE6*AE14</x:f>
        <x:v>8250000</x:v>
      </x:c>
      <x:c r="AF15" s="38" t="n">
        <x:f>AF6*AF14</x:f>
        <x:v>8250000</x:v>
      </x:c>
      <x:c r="AG15" s="38" t="n">
        <x:f>AG6*AG14</x:f>
        <x:v>8250000</x:v>
      </x:c>
      <x:c r="AH15" s="38" t="n">
        <x:f>AH6*AH14</x:f>
        <x:v>8250000</x:v>
      </x:c>
      <x:c r="AI15" s="38" t="n">
        <x:f>AI6*AI14</x:f>
        <x:v>8250000</x:v>
      </x:c>
      <x:c r="AJ15" s="38" t="n">
        <x:f>AJ6*AJ14</x:f>
        <x:v>8250000</x:v>
      </x:c>
      <x:c r="AK15" s="38" t="n">
        <x:f>AK6*AK14</x:f>
        <x:v>8250000</x:v>
      </x:c>
    </x:row>
    <x:row r="16">
      <x:c r="A16" s="32" t="str">
        <x:v>Вознаграждение за эффект, ₽</x:v>
      </x:c>
      <x:c r="B16" s="38" t="n">
        <x:f>B10*'Допущения'!$K$12</x:f>
        <x:v>0</x:v>
      </x:c>
      <x:c r="C16" s="38" t="n">
        <x:f>C10*'Допущения'!$K$12</x:f>
        <x:v>0</x:v>
      </x:c>
      <x:c r="D16" s="38" t="n">
        <x:f>D10*'Допущения'!$K$12</x:f>
        <x:v>0</x:v>
      </x:c>
      <x:c r="E16" s="38" t="n">
        <x:f>E10*'Допущения'!$K$12</x:f>
        <x:v>0</x:v>
      </x:c>
      <x:c r="F16" s="38" t="n">
        <x:f>F10*'Допущения'!$K$12</x:f>
        <x:v>0</x:v>
      </x:c>
      <x:c r="G16" s="38" t="n">
        <x:f>G10*'Допущения'!$K$12</x:f>
        <x:v>0</x:v>
      </x:c>
      <x:c r="H16" s="38" t="n">
        <x:f>H10*'Допущения'!$K$12</x:f>
        <x:v>0</x:v>
      </x:c>
      <x:c r="I16" s="38" t="n">
        <x:f>I10*'Допущения'!$K$12</x:f>
        <x:v>0</x:v>
      </x:c>
      <x:c r="J16" s="38" t="n">
        <x:f>J10*'Допущения'!$K$12</x:f>
        <x:v>0</x:v>
      </x:c>
      <x:c r="K16" s="38" t="n">
        <x:f>K10*'Допущения'!$K$12</x:f>
        <x:v>0</x:v>
      </x:c>
      <x:c r="L16" s="38" t="n">
        <x:f>L10*'Допущения'!$K$12</x:f>
        <x:v>0</x:v>
      </x:c>
      <x:c r="M16" s="38" t="n">
        <x:f>M10*'Допущения'!$K$12</x:f>
        <x:v>0</x:v>
      </x:c>
      <x:c r="N16" s="38" t="n">
        <x:f>N10*'Допущения'!$K$12</x:f>
        <x:v>0</x:v>
      </x:c>
      <x:c r="O16" s="38" t="n">
        <x:f>O10*'Допущения'!$K$12</x:f>
        <x:v>0</x:v>
      </x:c>
      <x:c r="P16" s="38" t="n">
        <x:f>P10*'Допущения'!$K$12</x:f>
        <x:v>0</x:v>
      </x:c>
      <x:c r="Q16" s="38" t="n">
        <x:f>Q10*'Допущения'!$K$12</x:f>
        <x:v>0</x:v>
      </x:c>
      <x:c r="R16" s="38" t="n">
        <x:f>R10*'Допущения'!$K$12</x:f>
        <x:v>0</x:v>
      </x:c>
      <x:c r="S16" s="38" t="n">
        <x:f>S10*'Допущения'!$K$12</x:f>
        <x:v>0</x:v>
      </x:c>
      <x:c r="T16" s="38" t="n">
        <x:f>T10*'Допущения'!$K$12</x:f>
        <x:v>0</x:v>
      </x:c>
      <x:c r="U16" s="38" t="n">
        <x:f>U10*'Допущения'!$K$12</x:f>
        <x:v>0</x:v>
      </x:c>
      <x:c r="V16" s="38" t="n">
        <x:f>V10*'Допущения'!$K$12</x:f>
        <x:v>0</x:v>
      </x:c>
      <x:c r="W16" s="38" t="n">
        <x:f>W10*'Допущения'!$K$12</x:f>
        <x:v>0</x:v>
      </x:c>
      <x:c r="X16" s="38" t="n">
        <x:f>X10*'Допущения'!$K$12</x:f>
        <x:v>0</x:v>
      </x:c>
      <x:c r="Y16" s="38" t="n">
        <x:f>Y10*'Допущения'!$K$12</x:f>
        <x:v>0</x:v>
      </x:c>
      <x:c r="Z16" s="38" t="n">
        <x:f>Z10*'Допущения'!$K$12</x:f>
        <x:v>0</x:v>
      </x:c>
      <x:c r="AA16" s="38" t="n">
        <x:f>AA10*'Допущения'!$K$12</x:f>
        <x:v>0</x:v>
      </x:c>
      <x:c r="AB16" s="38" t="n">
        <x:f>AB10*'Допущения'!$K$12</x:f>
        <x:v>0</x:v>
      </x:c>
      <x:c r="AC16" s="38" t="n">
        <x:f>AC10*'Допущения'!$K$12</x:f>
        <x:v>0</x:v>
      </x:c>
      <x:c r="AD16" s="38" t="n">
        <x:f>AD10*'Допущения'!$K$12</x:f>
        <x:v>0</x:v>
      </x:c>
      <x:c r="AE16" s="38" t="n">
        <x:f>AE10*'Допущения'!$K$12</x:f>
        <x:v>0</x:v>
      </x:c>
      <x:c r="AF16" s="38" t="n">
        <x:f>AF10*'Допущения'!$K$12</x:f>
        <x:v>0</x:v>
      </x:c>
      <x:c r="AG16" s="38" t="n">
        <x:f>AG10*'Допущения'!$K$12</x:f>
        <x:v>0</x:v>
      </x:c>
      <x:c r="AH16" s="38" t="n">
        <x:f>AH10*'Допущения'!$K$12</x:f>
        <x:v>0</x:v>
      </x:c>
      <x:c r="AI16" s="38" t="n">
        <x:f>AI10*'Допущения'!$K$12</x:f>
        <x:v>0</x:v>
      </x:c>
      <x:c r="AJ16" s="38" t="n">
        <x:f>AJ10*'Допущения'!$K$12</x:f>
        <x:v>0</x:v>
      </x:c>
      <x:c r="AK16" s="38" t="n">
        <x:f>AK10*'Допущения'!$K$12</x:f>
        <x:v>0</x:v>
      </x:c>
    </x:row>
    <x:row r="17">
      <x:c r="A17" s="32" t="str">
        <x:v>Модули, ₽</x:v>
      </x:c>
      <x:c r="B17" s="38" t="n">
        <x:f>B10*'Допущения'!$K$13</x:f>
        <x:v>0</x:v>
      </x:c>
      <x:c r="C17" s="38" t="n">
        <x:f>C10*'Допущения'!$K$13</x:f>
        <x:v>0</x:v>
      </x:c>
      <x:c r="D17" s="38" t="n">
        <x:f>D10*'Допущения'!$K$13</x:f>
        <x:v>0</x:v>
      </x:c>
      <x:c r="E17" s="38" t="n">
        <x:f>E10*'Допущения'!$K$13</x:f>
        <x:v>0</x:v>
      </x:c>
      <x:c r="F17" s="38" t="n">
        <x:f>F10*'Допущения'!$K$13</x:f>
        <x:v>0</x:v>
      </x:c>
      <x:c r="G17" s="38" t="n">
        <x:f>G10*'Допущения'!$K$13</x:f>
        <x:v>0</x:v>
      </x:c>
      <x:c r="H17" s="38" t="n">
        <x:f>H10*'Допущения'!$K$13</x:f>
        <x:v>0</x:v>
      </x:c>
      <x:c r="I17" s="38" t="n">
        <x:f>I10*'Допущения'!$K$13</x:f>
        <x:v>0</x:v>
      </x:c>
      <x:c r="J17" s="38" t="n">
        <x:f>J10*'Допущения'!$K$13</x:f>
        <x:v>0</x:v>
      </x:c>
      <x:c r="K17" s="38" t="n">
        <x:f>K10*'Допущения'!$K$13</x:f>
        <x:v>0</x:v>
      </x:c>
      <x:c r="L17" s="38" t="n">
        <x:f>L10*'Допущения'!$K$13</x:f>
        <x:v>0</x:v>
      </x:c>
      <x:c r="M17" s="38" t="n">
        <x:f>M10*'Допущения'!$K$13</x:f>
        <x:v>0</x:v>
      </x:c>
      <x:c r="N17" s="38" t="n">
        <x:f>N10*'Допущения'!$K$13</x:f>
        <x:v>0</x:v>
      </x:c>
      <x:c r="O17" s="38" t="n">
        <x:f>O10*'Допущения'!$K$13</x:f>
        <x:v>0</x:v>
      </x:c>
      <x:c r="P17" s="38" t="n">
        <x:f>P10*'Допущения'!$K$13</x:f>
        <x:v>0</x:v>
      </x:c>
      <x:c r="Q17" s="38" t="n">
        <x:f>Q10*'Допущения'!$K$13</x:f>
        <x:v>0</x:v>
      </x:c>
      <x:c r="R17" s="38" t="n">
        <x:f>R10*'Допущения'!$K$13</x:f>
        <x:v>0</x:v>
      </x:c>
      <x:c r="S17" s="38" t="n">
        <x:f>S10*'Допущения'!$K$13</x:f>
        <x:v>0</x:v>
      </x:c>
      <x:c r="T17" s="38" t="n">
        <x:f>T10*'Допущения'!$K$13</x:f>
        <x:v>0</x:v>
      </x:c>
      <x:c r="U17" s="38" t="n">
        <x:f>U10*'Допущения'!$K$13</x:f>
        <x:v>0</x:v>
      </x:c>
      <x:c r="V17" s="38" t="n">
        <x:f>V10*'Допущения'!$K$13</x:f>
        <x:v>0</x:v>
      </x:c>
      <x:c r="W17" s="38" t="n">
        <x:f>W10*'Допущения'!$K$13</x:f>
        <x:v>0</x:v>
      </x:c>
      <x:c r="X17" s="38" t="n">
        <x:f>X10*'Допущения'!$K$13</x:f>
        <x:v>0</x:v>
      </x:c>
      <x:c r="Y17" s="38" t="n">
        <x:f>Y10*'Допущения'!$K$13</x:f>
        <x:v>0</x:v>
      </x:c>
      <x:c r="Z17" s="38" t="n">
        <x:f>Z10*'Допущения'!$K$13</x:f>
        <x:v>0</x:v>
      </x:c>
      <x:c r="AA17" s="38" t="n">
        <x:f>AA10*'Допущения'!$K$13</x:f>
        <x:v>0</x:v>
      </x:c>
      <x:c r="AB17" s="38" t="n">
        <x:f>AB10*'Допущения'!$K$13</x:f>
        <x:v>0</x:v>
      </x:c>
      <x:c r="AC17" s="38" t="n">
        <x:f>AC10*'Допущения'!$K$13</x:f>
        <x:v>0</x:v>
      </x:c>
      <x:c r="AD17" s="38" t="n">
        <x:f>AD10*'Допущения'!$K$13</x:f>
        <x:v>0</x:v>
      </x:c>
      <x:c r="AE17" s="38" t="n">
        <x:f>AE10*'Допущения'!$K$13</x:f>
        <x:v>0</x:v>
      </x:c>
      <x:c r="AF17" s="38" t="n">
        <x:f>AF10*'Допущения'!$K$13</x:f>
        <x:v>0</x:v>
      </x:c>
      <x:c r="AG17" s="38" t="n">
        <x:f>AG10*'Допущения'!$K$13</x:f>
        <x:v>0</x:v>
      </x:c>
      <x:c r="AH17" s="38" t="n">
        <x:f>AH10*'Допущения'!$K$13</x:f>
        <x:v>0</x:v>
      </x:c>
      <x:c r="AI17" s="38" t="n">
        <x:f>AI10*'Допущения'!$K$13</x:f>
        <x:v>0</x:v>
      </x:c>
      <x:c r="AJ17" s="38" t="n">
        <x:f>AJ10*'Допущения'!$K$13</x:f>
        <x:v>0</x:v>
      </x:c>
      <x:c r="AK17" s="38" t="n">
        <x:f>AK10*'Допущения'!$K$13</x:f>
        <x:v>0</x:v>
      </x:c>
    </x:row>
    <x:row r="18">
      <x:c r="A18" s="32" t="str">
        <x:v>ИТОГО ВЫРУЧКА, ₽</x:v>
      </x:c>
      <x:c r="B18" s="38" t="n">
        <x:f>SUM(B12,B15,B16,B17)</x:f>
        <x:v>1650000.0000000002</x:v>
      </x:c>
      <x:c r="C18" s="38" t="n">
        <x:f>SUM(C12,C15,C16,C17)</x:f>
        <x:v>2695000</x:v>
      </x:c>
      <x:c r="D18" s="38" t="n">
        <x:f>SUM(D12,D15,D16,D17)</x:f>
        <x:v>3022800</x:v>
      </x:c>
      <x:c r="E18" s="38" t="n">
        <x:f>SUM(E12,E15,E16,E17)</x:f>
        <x:v>4172322.0000000005</x:v>
      </x:c>
      <x:c r="F18" s="38" t="n">
        <x:f>SUM(F12,F15,F16,F17)</x:f>
        <x:v>4603598.780000001</x:v>
      </x:c>
      <x:c r="G18" s="38" t="n">
        <x:f>SUM(G12,G15,G16,G17)</x:f>
        <x:v>5030562.792200001</x:v>
      </x:c>
      <x:c r="H18" s="38" t="n">
        <x:f>SUM(H12,H15,H16,H17)</x:f>
        <x:v>6278257.164278001</x:v>
      </x:c>
      <x:c r="I18" s="38" t="n">
        <x:f>SUM(I12,I15,I16,I17)</x:f>
        <x:v>6806724.59263522</x:v>
      </x:c>
      <x:c r="J18" s="38" t="n">
        <x:f>SUM(J12,J15,J16,J17)</x:f>
        <x:v>7329907.346708868</x:v>
      </x:c>
      <x:c r="K18" s="38" t="n">
        <x:f>SUM(K12,K15,K16,K17)</x:f>
        <x:v>7847858.273241779</x:v>
      </x:c>
      <x:c r="L18" s="38" t="n">
        <x:f>SUM(L12,L15,L16,L17)</x:f>
        <x:v>8360629.690509362</x:v>
      </x:c>
      <x:c r="M18" s="38" t="n">
        <x:f>SUM(M12,M15,M16,M17)</x:f>
        <x:v>8868273.393604267</x:v>
      </x:c>
      <x:c r="N18" s="38" t="n">
        <x:f>SUM(N12,N15,N16,N17)</x:f>
        <x:v>10195840.659668226</x:v>
      </x:c>
      <x:c r="O18" s="38" t="n">
        <x:f>SUM(O12,O15,O16,O17)</x:f>
        <x:v>10803382.253071543</x:v>
      </x:c>
      <x:c r="P18" s="38" t="n">
        <x:f>SUM(P12,P15,P16,P17)</x:f>
        <x:v>11404848.43054083</x:v>
      </x:c>
      <x:c r="Q18" s="38" t="n">
        <x:f>SUM(Q12,Q15,Q16,Q17)</x:f>
        <x:v>12000299.94623542</x:v>
      </x:c>
      <x:c r="R18" s="38" t="n">
        <x:f>SUM(R12,R15,R16,R17)</x:f>
        <x:v>12589796.946773067</x:v>
      </x:c>
      <x:c r="S18" s="38" t="n">
        <x:f>SUM(S12,S15,S16,S17)</x:f>
        <x:v>13173398.977305338</x:v>
      </x:c>
      <x:c r="T18" s="38" t="n">
        <x:f>SUM(T12,T15,T16,T17)</x:f>
        <x:v>13751164.987532284</x:v>
      </x:c>
      <x:c r="U18" s="38" t="n">
        <x:f>SUM(U12,U15,U16,U17)</x:f>
        <x:v>14323153.33765696</x:v>
      </x:c>
      <x:c r="V18" s="38" t="n">
        <x:f>SUM(V12,V15,V16,V17)</x:f>
        <x:v>14889421.804280391</x:v>
      </x:c>
      <x:c r="W18" s="38" t="n">
        <x:f>SUM(W12,W15,W16,W17)</x:f>
        <x:v>15450027.586237587</x:v>
      </x:c>
      <x:c r="X18" s="38" t="n">
        <x:f>SUM(X12,X15,X16,X17)</x:f>
        <x:v>16005027.310375212</x:v>
      </x:c>
      <x:c r="Y18" s="38" t="n">
        <x:f>SUM(Y12,Y15,Y16,Y17)</x:f>
        <x:v>16554477.03727146</x:v>
      </x:c>
      <x:c r="Z18" s="38" t="n">
        <x:f>SUM(Z12,Z15,Z16,Z17)</x:f>
        <x:v>20398432.266898744</x:v>
      </x:c>
      <x:c r="AA18" s="38" t="n">
        <x:f>SUM(AA12,AA15,AA16,AA17)</x:f>
        <x:v>21376947.94422976</x:v>
      </x:c>
      <x:c r="AB18" s="38" t="n">
        <x:f>SUM(AB12,AB15,AB16,AB17)</x:f>
        <x:v>22345678.46478746</x:v>
      </x:c>
      <x:c r="AC18" s="38" t="n">
        <x:f>SUM(AC12,AC15,AC16,AC17)</x:f>
        <x:v>23304721.680139586</x:v>
      </x:c>
      <x:c r="AD18" s="38" t="n">
        <x:f>SUM(AD12,AD15,AD16,AD17)</x:f>
        <x:v>24254174.46333819</x:v>
      </x:c>
      <x:c r="AE18" s="38" t="n">
        <x:f>SUM(AE12,AE15,AE16,AE17)</x:f>
        <x:v>25194132.71870481</x:v>
      </x:c>
      <x:c r="AF18" s="38" t="n">
        <x:f>SUM(AF12,AF15,AF16,AF17)</x:f>
        <x:v>26124691.391517762</x:v>
      </x:c>
      <x:c r="AG18" s="38" t="n">
        <x:f>SUM(AG12,AG15,AG16,AG17)</x:f>
        <x:v>27045944.477602586</x:v>
      </x:c>
      <x:c r="AH18" s="38" t="n">
        <x:f>SUM(AH12,AH15,AH16,AH17)</x:f>
        <x:v>27957985.03282656</x:v>
      </x:c>
      <x:c r="AI18" s="38" t="n">
        <x:f>SUM(AI12,AI15,AI16,AI17)</x:f>
        <x:v>28860905.182498295</x:v>
      </x:c>
      <x:c r="AJ18" s="38" t="n">
        <x:f>SUM(AJ12,AJ15,AJ16,AJ17)</x:f>
        <x:v>29754796.130673315</x:v>
      </x:c>
      <x:c r="AK18" s="38" t="n">
        <x:f>SUM(AK12,AK15,AK16,AK17)</x:f>
        <x:v>30639748.169366583</x:v>
      </x:c>
    </x:row>
    <x:row r="19">
      <x:c r="A19" s="32" t="str">
        <x:v>Себестоимость аудитов, ₽</x:v>
      </x:c>
      <x:c r="B19" s="38" t="n">
        <x:f>B4*'Допущения'!$K$10*(1-'Допущения'!$K$11)^0</x:f>
        <x:v>360000</x:v>
      </x:c>
      <x:c r="C19" s="38" t="n">
        <x:f>C4*'Допущения'!$K$10*(1-'Допущения'!$K$11)^0</x:f>
        <x:v>540000</x:v>
      </x:c>
      <x:c r="D19" s="38" t="n">
        <x:f>D4*'Допущения'!$K$10*(1-'Допущения'!$K$11)^0</x:f>
        <x:v>540000</x:v>
      </x:c>
      <x:c r="E19" s="38" t="n">
        <x:f>E4*'Допущения'!$K$10*(1-'Допущения'!$K$11)^1</x:f>
        <x:v>662400</x:v>
      </x:c>
      <x:c r="F19" s="38" t="n">
        <x:f>F4*'Допущения'!$K$10*(1-'Допущения'!$K$11)^1</x:f>
        <x:v>662400</x:v>
      </x:c>
      <x:c r="G19" s="38" t="n">
        <x:f>G4*'Допущения'!$K$10*(1-'Допущения'!$K$11)^1</x:f>
        <x:v>662400</x:v>
      </x:c>
      <x:c r="H19" s="38" t="n">
        <x:f>H4*'Допущения'!$K$10*(1-'Допущения'!$K$11)^2</x:f>
        <x:v>761760</x:v>
      </x:c>
      <x:c r="I19" s="38" t="n">
        <x:f>I4*'Допущения'!$K$10*(1-'Допущения'!$K$11)^2</x:f>
        <x:v>761760</x:v>
      </x:c>
      <x:c r="J19" s="38" t="n">
        <x:f>J4*'Допущения'!$K$10*(1-'Допущения'!$K$11)^2</x:f>
        <x:v>761760</x:v>
      </x:c>
      <x:c r="K19" s="38" t="n">
        <x:f>K4*'Допущения'!$K$10*(1-'Допущения'!$K$11)^3</x:f>
        <x:v>700819.2000000001</x:v>
      </x:c>
      <x:c r="L19" s="38" t="n">
        <x:f>L4*'Допущения'!$K$10*(1-'Допущения'!$K$11)^3</x:f>
        <x:v>700819.2000000001</x:v>
      </x:c>
      <x:c r="M19" s="38" t="n">
        <x:f>M4*'Допущения'!$K$10*(1-'Допущения'!$K$11)^3</x:f>
        <x:v>700819.2000000001</x:v>
      </x:c>
      <x:c r="N19" s="38" t="n">
        <x:f>N4*'Допущения'!$K$10*(1-'Допущения'!$K$11)^4</x:f>
        <x:v>773704.3968000001</x:v>
      </x:c>
      <x:c r="O19" s="38" t="n">
        <x:f>O4*'Допущения'!$K$10*(1-'Допущения'!$K$11)^4</x:f>
        <x:v>773704.3968000001</x:v>
      </x:c>
      <x:c r="P19" s="38" t="n">
        <x:f>P4*'Допущения'!$K$10*(1-'Допущения'!$K$11)^4</x:f>
        <x:v>773704.3968000001</x:v>
      </x:c>
      <x:c r="Q19" s="38" t="n">
        <x:f>Q4*'Допущения'!$K$10*(1-'Допущения'!$K$11)^5</x:f>
        <x:v>711808.0450560001</x:v>
      </x:c>
      <x:c r="R19" s="38" t="n">
        <x:f>R4*'Допущения'!$K$10*(1-'Допущения'!$K$11)^5</x:f>
        <x:v>711808.0450560001</x:v>
      </x:c>
      <x:c r="S19" s="38" t="n">
        <x:f>S4*'Допущения'!$K$10*(1-'Допущения'!$K$11)^5</x:f>
        <x:v>711808.0450560001</x:v>
      </x:c>
      <x:c r="T19" s="38" t="n">
        <x:f>T4*'Допущения'!$K$10*(1-'Допущения'!$K$11)^6</x:f>
        <x:v>654863.4014515202</x:v>
      </x:c>
      <x:c r="U19" s="38" t="n">
        <x:f>U4*'Допущения'!$K$10*(1-'Допущения'!$K$11)^6</x:f>
        <x:v>654863.4014515202</x:v>
      </x:c>
      <x:c r="V19" s="38" t="n">
        <x:f>V4*'Допущения'!$K$10*(1-'Допущения'!$K$11)^6</x:f>
        <x:v>654863.4014515202</x:v>
      </x:c>
      <x:c r="W19" s="38" t="n">
        <x:f>W4*'Допущения'!$K$10*(1-'Допущения'!$K$11)^7</x:f>
        <x:v>602474.3293353985</x:v>
      </x:c>
      <x:c r="X19" s="38" t="n">
        <x:f>X4*'Допущения'!$K$10*(1-'Допущения'!$K$11)^7</x:f>
        <x:v>602474.3293353985</x:v>
      </x:c>
      <x:c r="Y19" s="38" t="n">
        <x:f>Y4*'Допущения'!$K$10*(1-'Допущения'!$K$11)^7</x:f>
        <x:v>602474.3293353985</x:v>
      </x:c>
      <x:c r="Z19" s="38" t="n">
        <x:f>Z4*'Допущения'!$K$10*(1-'Допущения'!$K$11)^8</x:f>
        <x:v>923793.9716476111</x:v>
      </x:c>
      <x:c r="AA19" s="38" t="n">
        <x:f>AA4*'Допущения'!$K$10*(1-'Допущения'!$K$11)^8</x:f>
        <x:v>923793.9716476111</x:v>
      </x:c>
      <x:c r="AB19" s="38" t="n">
        <x:f>AB4*'Допущения'!$K$10*(1-'Допущения'!$K$11)^8</x:f>
        <x:v>923793.9716476111</x:v>
      </x:c>
      <x:c r="AC19" s="38" t="n">
        <x:f>AC4*'Допущения'!$K$10*(1-'Допущения'!$K$11)^9</x:f>
        <x:v>849890.4539158023</x:v>
      </x:c>
      <x:c r="AD19" s="38" t="n">
        <x:f>AD4*'Допущения'!$K$10*(1-'Допущения'!$K$11)^9</x:f>
        <x:v>849890.4539158023</x:v>
      </x:c>
      <x:c r="AE19" s="38" t="n">
        <x:f>AE4*'Допущения'!$K$10*(1-'Допущения'!$K$11)^9</x:f>
        <x:v>849890.4539158023</x:v>
      </x:c>
      <x:c r="AF19" s="38" t="n">
        <x:f>AF4*'Допущения'!$K$10*(1-'Допущения'!$K$11)^10</x:f>
        <x:v>781899.2176025382</x:v>
      </x:c>
      <x:c r="AG19" s="38" t="n">
        <x:f>AG4*'Допущения'!$K$10*(1-'Допущения'!$K$11)^10</x:f>
        <x:v>781899.2176025382</x:v>
      </x:c>
      <x:c r="AH19" s="38" t="n">
        <x:f>AH4*'Допущения'!$K$10*(1-'Допущения'!$K$11)^10</x:f>
        <x:v>781899.2176025382</x:v>
      </x:c>
      <x:c r="AI19" s="38" t="n">
        <x:f>AI4*'Допущения'!$K$10*(1-'Допущения'!$K$11)^11</x:f>
        <x:v>719347.280194335</x:v>
      </x:c>
      <x:c r="AJ19" s="38" t="n">
        <x:f>AJ4*'Допущения'!$K$10*(1-'Допущения'!$K$11)^11</x:f>
        <x:v>719347.280194335</x:v>
      </x:c>
      <x:c r="AK19" s="38" t="n">
        <x:f>AK4*'Допущения'!$K$10*(1-'Допущения'!$K$11)^11</x:f>
        <x:v>719347.280194335</x:v>
      </x:c>
    </x:row>
    <x:row r="20">
      <x:c r="A20" s="32" t="str">
        <x:v>Стоимость команды, ₽</x:v>
      </x:c>
      <x:c r="B20" s="38" t="n">
        <x:f>IF(AND(1&gt;='Команда'!$C$4,1&lt;='Команда'!$D$4),'Команда'!$B$4*(1+'Допущения'!$K$25)^0,0)+IF(AND(1&gt;='Команда'!$C$5,1&lt;='Команда'!$D$5),'Команда'!$B$5*(1+'Допущения'!$K$25)^0,0)+IF(AND(1&gt;='Команда'!$C$6,1&lt;='Команда'!$D$6),'Команда'!$B$6*(1+'Допущения'!$K$25)^0,0)+IF(AND(1&gt;='Команда'!$C$7,1&lt;='Команда'!$D$7),'Команда'!$B$7*(1+'Допущения'!$K$25)^0,0)+IF(AND(1&gt;='Команда'!$C$8,1&lt;='Команда'!$D$8),'Команда'!$B$8*(1+'Допущения'!$K$25)^0,0)+IF(AND(1&gt;='Команда'!$C$9,1&lt;='Команда'!$D$9),'Команда'!$B$9*(1+'Допущения'!$K$25)^0,0)+IF(AND(1&gt;='Команда'!$C$10,1&lt;='Команда'!$D$10),'Команда'!$B$10*(1+'Допущения'!$K$25)^0,0)+IF(AND(1&gt;='Команда'!$C$11,1&lt;='Команда'!$D$11),'Команда'!$B$11*(1+'Допущения'!$K$25)^0,0)+IF(AND(1&gt;='Команда'!$C$12,1&lt;='Команда'!$D$12),'Команда'!$B$12*(1+'Допущения'!$K$25)^0,0)+IF(AND(1&gt;='Команда'!$C$13,1&lt;='Команда'!$D$13),'Команда'!$B$13*(1+'Допущения'!$K$25)^0,0)+IF(AND(1&gt;='Команда'!$C$14,1&lt;='Команда'!$D$14),'Команда'!$B$14*(1+'Допущения'!$K$25)^0,0)+IF(AND(1&gt;='Команда'!$C$15,1&lt;='Команда'!$D$15),'Команда'!$B$15*(1+'Допущения'!$K$25)^0,0)+IF(AND(1&gt;='Команда'!$C$16,1&lt;='Команда'!$D$16),'Команда'!$B$16*(1+'Допущения'!$K$25)^0,0)</x:f>
        <x:v>2400000</x:v>
      </x:c>
      <x:c r="C20" s="38" t="n">
        <x:f>IF(AND(2&gt;='Команда'!$C$4,2&lt;='Команда'!$D$4),'Команда'!$B$4*(1+'Допущения'!$K$25)^0,0)+IF(AND(2&gt;='Команда'!$C$5,2&lt;='Команда'!$D$5),'Команда'!$B$5*(1+'Допущения'!$K$25)^0,0)+IF(AND(2&gt;='Команда'!$C$6,2&lt;='Команда'!$D$6),'Команда'!$B$6*(1+'Допущения'!$K$25)^0,0)+IF(AND(2&gt;='Команда'!$C$7,2&lt;='Команда'!$D$7),'Команда'!$B$7*(1+'Допущения'!$K$25)^0,0)+IF(AND(2&gt;='Команда'!$C$8,2&lt;='Команда'!$D$8),'Команда'!$B$8*(1+'Допущения'!$K$25)^0,0)+IF(AND(2&gt;='Команда'!$C$9,2&lt;='Команда'!$D$9),'Команда'!$B$9*(1+'Допущения'!$K$25)^0,0)+IF(AND(2&gt;='Команда'!$C$10,2&lt;='Команда'!$D$10),'Команда'!$B$10*(1+'Допущения'!$K$25)^0,0)+IF(AND(2&gt;='Команда'!$C$11,2&lt;='Команда'!$D$11),'Команда'!$B$11*(1+'Допущения'!$K$25)^0,0)+IF(AND(2&gt;='Команда'!$C$12,2&lt;='Команда'!$D$12),'Команда'!$B$12*(1+'Допущения'!$K$25)^0,0)+IF(AND(2&gt;='Команда'!$C$13,2&lt;='Команда'!$D$13),'Команда'!$B$13*(1+'Допущения'!$K$25)^0,0)+IF(AND(2&gt;='Команда'!$C$14,2&lt;='Команда'!$D$14),'Команда'!$B$14*(1+'Допущения'!$K$25)^0,0)+IF(AND(2&gt;='Команда'!$C$15,2&lt;='Команда'!$D$15),'Команда'!$B$15*(1+'Допущения'!$K$25)^0,0)+IF(AND(2&gt;='Команда'!$C$16,2&lt;='Команда'!$D$16),'Команда'!$B$16*(1+'Допущения'!$K$25)^0,0)</x:f>
        <x:v>2400000</x:v>
      </x:c>
      <x:c r="D20" s="38" t="n">
        <x:f>IF(AND(3&gt;='Команда'!$C$4,3&lt;='Команда'!$D$4),'Команда'!$B$4*(1+'Допущения'!$K$25)^0,0)+IF(AND(3&gt;='Команда'!$C$5,3&lt;='Команда'!$D$5),'Команда'!$B$5*(1+'Допущения'!$K$25)^0,0)+IF(AND(3&gt;='Команда'!$C$6,3&lt;='Команда'!$D$6),'Команда'!$B$6*(1+'Допущения'!$K$25)^0,0)+IF(AND(3&gt;='Команда'!$C$7,3&lt;='Команда'!$D$7),'Команда'!$B$7*(1+'Допущения'!$K$25)^0,0)+IF(AND(3&gt;='Команда'!$C$8,3&lt;='Команда'!$D$8),'Команда'!$B$8*(1+'Допущения'!$K$25)^0,0)+IF(AND(3&gt;='Команда'!$C$9,3&lt;='Команда'!$D$9),'Команда'!$B$9*(1+'Допущения'!$K$25)^0,0)+IF(AND(3&gt;='Команда'!$C$10,3&lt;='Команда'!$D$10),'Команда'!$B$10*(1+'Допущения'!$K$25)^0,0)+IF(AND(3&gt;='Команда'!$C$11,3&lt;='Команда'!$D$11),'Команда'!$B$11*(1+'Допущения'!$K$25)^0,0)+IF(AND(3&gt;='Команда'!$C$12,3&lt;='Команда'!$D$12),'Команда'!$B$12*(1+'Допущения'!$K$25)^0,0)+IF(AND(3&gt;='Команда'!$C$13,3&lt;='Команда'!$D$13),'Команда'!$B$13*(1+'Допущения'!$K$25)^0,0)+IF(AND(3&gt;='Команда'!$C$14,3&lt;='Команда'!$D$14),'Команда'!$B$14*(1+'Допущения'!$K$25)^0,0)+IF(AND(3&gt;='Команда'!$C$15,3&lt;='Команда'!$D$15),'Команда'!$B$15*(1+'Допущения'!$K$25)^0,0)+IF(AND(3&gt;='Команда'!$C$16,3&lt;='Команда'!$D$16),'Команда'!$B$16*(1+'Допущения'!$K$25)^0,0)</x:f>
        <x:v>2400000</x:v>
      </x:c>
      <x:c r="E20" s="38" t="n">
        <x:f>IF(AND(4&gt;='Команда'!$C$4,4&lt;='Команда'!$D$4),'Команда'!$B$4*(1+'Допущения'!$K$25)^0,0)+IF(AND(4&gt;='Команда'!$C$5,4&lt;='Команда'!$D$5),'Команда'!$B$5*(1+'Допущения'!$K$25)^0,0)+IF(AND(4&gt;='Команда'!$C$6,4&lt;='Команда'!$D$6),'Команда'!$B$6*(1+'Допущения'!$K$25)^0,0)+IF(AND(4&gt;='Команда'!$C$7,4&lt;='Команда'!$D$7),'Команда'!$B$7*(1+'Допущения'!$K$25)^0,0)+IF(AND(4&gt;='Команда'!$C$8,4&lt;='Команда'!$D$8),'Команда'!$B$8*(1+'Допущения'!$K$25)^0,0)+IF(AND(4&gt;='Команда'!$C$9,4&lt;='Команда'!$D$9),'Команда'!$B$9*(1+'Допущения'!$K$25)^0,0)+IF(AND(4&gt;='Команда'!$C$10,4&lt;='Команда'!$D$10),'Команда'!$B$10*(1+'Допущения'!$K$25)^0,0)+IF(AND(4&gt;='Команда'!$C$11,4&lt;='Команда'!$D$11),'Команда'!$B$11*(1+'Допущения'!$K$25)^0,0)+IF(AND(4&gt;='Команда'!$C$12,4&lt;='Команда'!$D$12),'Команда'!$B$12*(1+'Допущения'!$K$25)^0,0)+IF(AND(4&gt;='Команда'!$C$13,4&lt;='Команда'!$D$13),'Команда'!$B$13*(1+'Допущения'!$K$25)^0,0)+IF(AND(4&gt;='Команда'!$C$14,4&lt;='Команда'!$D$14),'Команда'!$B$14*(1+'Допущения'!$K$25)^0,0)+IF(AND(4&gt;='Команда'!$C$15,4&lt;='Команда'!$D$15),'Команда'!$B$15*(1+'Допущения'!$K$25)^0,0)+IF(AND(4&gt;='Команда'!$C$16,4&lt;='Команда'!$D$16),'Команда'!$B$16*(1+'Допущения'!$K$25)^0,0)</x:f>
        <x:v>2650000</x:v>
      </x:c>
      <x:c r="F20" s="38" t="n">
        <x:f>IF(AND(5&gt;='Команда'!$C$4,5&lt;='Команда'!$D$4),'Команда'!$B$4*(1+'Допущения'!$K$25)^0,0)+IF(AND(5&gt;='Команда'!$C$5,5&lt;='Команда'!$D$5),'Команда'!$B$5*(1+'Допущения'!$K$25)^0,0)+IF(AND(5&gt;='Команда'!$C$6,5&lt;='Команда'!$D$6),'Команда'!$B$6*(1+'Допущения'!$K$25)^0,0)+IF(AND(5&gt;='Команда'!$C$7,5&lt;='Команда'!$D$7),'Команда'!$B$7*(1+'Допущения'!$K$25)^0,0)+IF(AND(5&gt;='Команда'!$C$8,5&lt;='Команда'!$D$8),'Команда'!$B$8*(1+'Допущения'!$K$25)^0,0)+IF(AND(5&gt;='Команда'!$C$9,5&lt;='Команда'!$D$9),'Команда'!$B$9*(1+'Допущения'!$K$25)^0,0)+IF(AND(5&gt;='Команда'!$C$10,5&lt;='Команда'!$D$10),'Команда'!$B$10*(1+'Допущения'!$K$25)^0,0)+IF(AND(5&gt;='Команда'!$C$11,5&lt;='Команда'!$D$11),'Команда'!$B$11*(1+'Допущения'!$K$25)^0,0)+IF(AND(5&gt;='Команда'!$C$12,5&lt;='Команда'!$D$12),'Команда'!$B$12*(1+'Допущения'!$K$25)^0,0)+IF(AND(5&gt;='Команда'!$C$13,5&lt;='Команда'!$D$13),'Команда'!$B$13*(1+'Допущения'!$K$25)^0,0)+IF(AND(5&gt;='Команда'!$C$14,5&lt;='Команда'!$D$14),'Команда'!$B$14*(1+'Допущения'!$K$25)^0,0)+IF(AND(5&gt;='Команда'!$C$15,5&lt;='Команда'!$D$15),'Команда'!$B$15*(1+'Допущения'!$K$25)^0,0)+IF(AND(5&gt;='Команда'!$C$16,5&lt;='Команда'!$D$16),'Команда'!$B$16*(1+'Допущения'!$K$25)^0,0)</x:f>
        <x:v>2650000</x:v>
      </x:c>
      <x:c r="G20" s="38" t="n">
        <x:f>IF(AND(6&gt;='Команда'!$C$4,6&lt;='Команда'!$D$4),'Команда'!$B$4*(1+'Допущения'!$K$25)^0,0)+IF(AND(6&gt;='Команда'!$C$5,6&lt;='Команда'!$D$5),'Команда'!$B$5*(1+'Допущения'!$K$25)^0,0)+IF(AND(6&gt;='Команда'!$C$6,6&lt;='Команда'!$D$6),'Команда'!$B$6*(1+'Допущения'!$K$25)^0,0)+IF(AND(6&gt;='Команда'!$C$7,6&lt;='Команда'!$D$7),'Команда'!$B$7*(1+'Допущения'!$K$25)^0,0)+IF(AND(6&gt;='Команда'!$C$8,6&lt;='Команда'!$D$8),'Команда'!$B$8*(1+'Допущения'!$K$25)^0,0)+IF(AND(6&gt;='Команда'!$C$9,6&lt;='Команда'!$D$9),'Команда'!$B$9*(1+'Допущения'!$K$25)^0,0)+IF(AND(6&gt;='Команда'!$C$10,6&lt;='Команда'!$D$10),'Команда'!$B$10*(1+'Допущения'!$K$25)^0,0)+IF(AND(6&gt;='Команда'!$C$11,6&lt;='Команда'!$D$11),'Команда'!$B$11*(1+'Допущения'!$K$25)^0,0)+IF(AND(6&gt;='Команда'!$C$12,6&lt;='Команда'!$D$12),'Команда'!$B$12*(1+'Допущения'!$K$25)^0,0)+IF(AND(6&gt;='Команда'!$C$13,6&lt;='Команда'!$D$13),'Команда'!$B$13*(1+'Допущения'!$K$25)^0,0)+IF(AND(6&gt;='Команда'!$C$14,6&lt;='Команда'!$D$14),'Команда'!$B$14*(1+'Допущения'!$K$25)^0,0)+IF(AND(6&gt;='Команда'!$C$15,6&lt;='Команда'!$D$15),'Команда'!$B$15*(1+'Допущения'!$K$25)^0,0)+IF(AND(6&gt;='Команда'!$C$16,6&lt;='Команда'!$D$16),'Команда'!$B$16*(1+'Допущения'!$K$25)^0,0)</x:f>
        <x:v>2650000</x:v>
      </x:c>
      <x:c r="H20" s="38" t="n">
        <x:f>IF(AND(7&gt;='Команда'!$C$4,7&lt;='Команда'!$D$4),'Команда'!$B$4*(1+'Допущения'!$K$25)^0,0)+IF(AND(7&gt;='Команда'!$C$5,7&lt;='Команда'!$D$5),'Команда'!$B$5*(1+'Допущения'!$K$25)^0,0)+IF(AND(7&gt;='Команда'!$C$6,7&lt;='Команда'!$D$6),'Команда'!$B$6*(1+'Допущения'!$K$25)^0,0)+IF(AND(7&gt;='Команда'!$C$7,7&lt;='Команда'!$D$7),'Команда'!$B$7*(1+'Допущения'!$K$25)^0,0)+IF(AND(7&gt;='Команда'!$C$8,7&lt;='Команда'!$D$8),'Команда'!$B$8*(1+'Допущения'!$K$25)^0,0)+IF(AND(7&gt;='Команда'!$C$9,7&lt;='Команда'!$D$9),'Команда'!$B$9*(1+'Допущения'!$K$25)^0,0)+IF(AND(7&gt;='Команда'!$C$10,7&lt;='Команда'!$D$10),'Команда'!$B$10*(1+'Допущения'!$K$25)^0,0)+IF(AND(7&gt;='Команда'!$C$11,7&lt;='Команда'!$D$11),'Команда'!$B$11*(1+'Допущения'!$K$25)^0,0)+IF(AND(7&gt;='Команда'!$C$12,7&lt;='Команда'!$D$12),'Команда'!$B$12*(1+'Допущения'!$K$25)^0,0)+IF(AND(7&gt;='Команда'!$C$13,7&lt;='Команда'!$D$13),'Команда'!$B$13*(1+'Допущения'!$K$25)^0,0)+IF(AND(7&gt;='Команда'!$C$14,7&lt;='Команда'!$D$14),'Команда'!$B$14*(1+'Допущения'!$K$25)^0,0)+IF(AND(7&gt;='Команда'!$C$15,7&lt;='Команда'!$D$15),'Команда'!$B$15*(1+'Допущения'!$K$25)^0,0)+IF(AND(7&gt;='Команда'!$C$16,7&lt;='Команда'!$D$16),'Команда'!$B$16*(1+'Допущения'!$K$25)^0,0)</x:f>
        <x:v>3200000</x:v>
      </x:c>
      <x:c r="I20" s="38" t="n">
        <x:f>IF(AND(8&gt;='Команда'!$C$4,8&lt;='Команда'!$D$4),'Команда'!$B$4*(1+'Допущения'!$K$25)^0,0)+IF(AND(8&gt;='Команда'!$C$5,8&lt;='Команда'!$D$5),'Команда'!$B$5*(1+'Допущения'!$K$25)^0,0)+IF(AND(8&gt;='Команда'!$C$6,8&lt;='Команда'!$D$6),'Команда'!$B$6*(1+'Допущения'!$K$25)^0,0)+IF(AND(8&gt;='Команда'!$C$7,8&lt;='Команда'!$D$7),'Команда'!$B$7*(1+'Допущения'!$K$25)^0,0)+IF(AND(8&gt;='Команда'!$C$8,8&lt;='Команда'!$D$8),'Команда'!$B$8*(1+'Допущения'!$K$25)^0,0)+IF(AND(8&gt;='Команда'!$C$9,8&lt;='Команда'!$D$9),'Команда'!$B$9*(1+'Допущения'!$K$25)^0,0)+IF(AND(8&gt;='Команда'!$C$10,8&lt;='Команда'!$D$10),'Команда'!$B$10*(1+'Допущения'!$K$25)^0,0)+IF(AND(8&gt;='Команда'!$C$11,8&lt;='Команда'!$D$11),'Команда'!$B$11*(1+'Допущения'!$K$25)^0,0)+IF(AND(8&gt;='Команда'!$C$12,8&lt;='Команда'!$D$12),'Команда'!$B$12*(1+'Допущения'!$K$25)^0,0)+IF(AND(8&gt;='Команда'!$C$13,8&lt;='Команда'!$D$13),'Команда'!$B$13*(1+'Допущения'!$K$25)^0,0)+IF(AND(8&gt;='Команда'!$C$14,8&lt;='Команда'!$D$14),'Команда'!$B$14*(1+'Допущения'!$K$25)^0,0)+IF(AND(8&gt;='Команда'!$C$15,8&lt;='Команда'!$D$15),'Команда'!$B$15*(1+'Допущения'!$K$25)^0,0)+IF(AND(8&gt;='Команда'!$C$16,8&lt;='Команда'!$D$16),'Команда'!$B$16*(1+'Допущения'!$K$25)^0,0)</x:f>
        <x:v>3200000</x:v>
      </x:c>
      <x:c r="J20" s="38" t="n">
        <x:f>IF(AND(9&gt;='Команда'!$C$4,9&lt;='Команда'!$D$4),'Команда'!$B$4*(1+'Допущения'!$K$25)^0,0)+IF(AND(9&gt;='Команда'!$C$5,9&lt;='Команда'!$D$5),'Команда'!$B$5*(1+'Допущения'!$K$25)^0,0)+IF(AND(9&gt;='Команда'!$C$6,9&lt;='Команда'!$D$6),'Команда'!$B$6*(1+'Допущения'!$K$25)^0,0)+IF(AND(9&gt;='Команда'!$C$7,9&lt;='Команда'!$D$7),'Команда'!$B$7*(1+'Допущения'!$K$25)^0,0)+IF(AND(9&gt;='Команда'!$C$8,9&lt;='Команда'!$D$8),'Команда'!$B$8*(1+'Допущения'!$K$25)^0,0)+IF(AND(9&gt;='Команда'!$C$9,9&lt;='Команда'!$D$9),'Команда'!$B$9*(1+'Допущения'!$K$25)^0,0)+IF(AND(9&gt;='Команда'!$C$10,9&lt;='Команда'!$D$10),'Команда'!$B$10*(1+'Допущения'!$K$25)^0,0)+IF(AND(9&gt;='Команда'!$C$11,9&lt;='Команда'!$D$11),'Команда'!$B$11*(1+'Допущения'!$K$25)^0,0)+IF(AND(9&gt;='Команда'!$C$12,9&lt;='Команда'!$D$12),'Команда'!$B$12*(1+'Допущения'!$K$25)^0,0)+IF(AND(9&gt;='Команда'!$C$13,9&lt;='Команда'!$D$13),'Команда'!$B$13*(1+'Допущения'!$K$25)^0,0)+IF(AND(9&gt;='Команда'!$C$14,9&lt;='Команда'!$D$14),'Команда'!$B$14*(1+'Допущения'!$K$25)^0,0)+IF(AND(9&gt;='Команда'!$C$15,9&lt;='Команда'!$D$15),'Команда'!$B$15*(1+'Допущения'!$K$25)^0,0)+IF(AND(9&gt;='Команда'!$C$16,9&lt;='Команда'!$D$16),'Команда'!$B$16*(1+'Допущения'!$K$25)^0,0)</x:f>
        <x:v>3200000</x:v>
      </x:c>
      <x:c r="K20" s="38" t="n">
        <x:f>IF(AND(10&gt;='Команда'!$C$4,10&lt;='Команда'!$D$4),'Команда'!$B$4*(1+'Допущения'!$K$25)^0,0)+IF(AND(10&gt;='Команда'!$C$5,10&lt;='Команда'!$D$5),'Команда'!$B$5*(1+'Допущения'!$K$25)^0,0)+IF(AND(10&gt;='Команда'!$C$6,10&lt;='Команда'!$D$6),'Команда'!$B$6*(1+'Допущения'!$K$25)^0,0)+IF(AND(10&gt;='Команда'!$C$7,10&lt;='Команда'!$D$7),'Команда'!$B$7*(1+'Допущения'!$K$25)^0,0)+IF(AND(10&gt;='Команда'!$C$8,10&lt;='Команда'!$D$8),'Команда'!$B$8*(1+'Допущения'!$K$25)^0,0)+IF(AND(10&gt;='Команда'!$C$9,10&lt;='Команда'!$D$9),'Команда'!$B$9*(1+'Допущения'!$K$25)^0,0)+IF(AND(10&gt;='Команда'!$C$10,10&lt;='Команда'!$D$10),'Команда'!$B$10*(1+'Допущения'!$K$25)^0,0)+IF(AND(10&gt;='Команда'!$C$11,10&lt;='Команда'!$D$11),'Команда'!$B$11*(1+'Допущения'!$K$25)^0,0)+IF(AND(10&gt;='Команда'!$C$12,10&lt;='Команда'!$D$12),'Команда'!$B$12*(1+'Допущения'!$K$25)^0,0)+IF(AND(10&gt;='Команда'!$C$13,10&lt;='Команда'!$D$13),'Команда'!$B$13*(1+'Допущения'!$K$25)^0,0)+IF(AND(10&gt;='Команда'!$C$14,10&lt;='Команда'!$D$14),'Команда'!$B$14*(1+'Допущения'!$K$25)^0,0)+IF(AND(10&gt;='Команда'!$C$15,10&lt;='Команда'!$D$15),'Команда'!$B$15*(1+'Допущения'!$K$25)^0,0)+IF(AND(10&gt;='Команда'!$C$16,10&lt;='Команда'!$D$16),'Команда'!$B$16*(1+'Допущения'!$K$25)^0,0)</x:f>
        <x:v>3450000</x:v>
      </x:c>
      <x:c r="L20" s="38" t="n">
        <x:f>IF(AND(11&gt;='Команда'!$C$4,11&lt;='Команда'!$D$4),'Команда'!$B$4*(1+'Допущения'!$K$25)^0,0)+IF(AND(11&gt;='Команда'!$C$5,11&lt;='Команда'!$D$5),'Команда'!$B$5*(1+'Допущения'!$K$25)^0,0)+IF(AND(11&gt;='Команда'!$C$6,11&lt;='Команда'!$D$6),'Команда'!$B$6*(1+'Допущения'!$K$25)^0,0)+IF(AND(11&gt;='Команда'!$C$7,11&lt;='Команда'!$D$7),'Команда'!$B$7*(1+'Допущения'!$K$25)^0,0)+IF(AND(11&gt;='Команда'!$C$8,11&lt;='Команда'!$D$8),'Команда'!$B$8*(1+'Допущения'!$K$25)^0,0)+IF(AND(11&gt;='Команда'!$C$9,11&lt;='Команда'!$D$9),'Команда'!$B$9*(1+'Допущения'!$K$25)^0,0)+IF(AND(11&gt;='Команда'!$C$10,11&lt;='Команда'!$D$10),'Команда'!$B$10*(1+'Допущения'!$K$25)^0,0)+IF(AND(11&gt;='Команда'!$C$11,11&lt;='Команда'!$D$11),'Команда'!$B$11*(1+'Допущения'!$K$25)^0,0)+IF(AND(11&gt;='Команда'!$C$12,11&lt;='Команда'!$D$12),'Команда'!$B$12*(1+'Допущения'!$K$25)^0,0)+IF(AND(11&gt;='Команда'!$C$13,11&lt;='Команда'!$D$13),'Команда'!$B$13*(1+'Допущения'!$K$25)^0,0)+IF(AND(11&gt;='Команда'!$C$14,11&lt;='Команда'!$D$14),'Команда'!$B$14*(1+'Допущения'!$K$25)^0,0)+IF(AND(11&gt;='Команда'!$C$15,11&lt;='Команда'!$D$15),'Команда'!$B$15*(1+'Допущения'!$K$25)^0,0)+IF(AND(11&gt;='Команда'!$C$16,11&lt;='Команда'!$D$16),'Команда'!$B$16*(1+'Допущения'!$K$25)^0,0)</x:f>
        <x:v>3450000</x:v>
      </x:c>
      <x:c r="M20" s="38" t="n">
        <x:f>IF(AND(12&gt;='Команда'!$C$4,12&lt;='Команда'!$D$4),'Команда'!$B$4*(1+'Допущения'!$K$25)^0,0)+IF(AND(12&gt;='Команда'!$C$5,12&lt;='Команда'!$D$5),'Команда'!$B$5*(1+'Допущения'!$K$25)^0,0)+IF(AND(12&gt;='Команда'!$C$6,12&lt;='Команда'!$D$6),'Команда'!$B$6*(1+'Допущения'!$K$25)^0,0)+IF(AND(12&gt;='Команда'!$C$7,12&lt;='Команда'!$D$7),'Команда'!$B$7*(1+'Допущения'!$K$25)^0,0)+IF(AND(12&gt;='Команда'!$C$8,12&lt;='Команда'!$D$8),'Команда'!$B$8*(1+'Допущения'!$K$25)^0,0)+IF(AND(12&gt;='Команда'!$C$9,12&lt;='Команда'!$D$9),'Команда'!$B$9*(1+'Допущения'!$K$25)^0,0)+IF(AND(12&gt;='Команда'!$C$10,12&lt;='Команда'!$D$10),'Команда'!$B$10*(1+'Допущения'!$K$25)^0,0)+IF(AND(12&gt;='Команда'!$C$11,12&lt;='Команда'!$D$11),'Команда'!$B$11*(1+'Допущения'!$K$25)^0,0)+IF(AND(12&gt;='Команда'!$C$12,12&lt;='Команда'!$D$12),'Команда'!$B$12*(1+'Допущения'!$K$25)^0,0)+IF(AND(12&gt;='Команда'!$C$13,12&lt;='Команда'!$D$13),'Команда'!$B$13*(1+'Допущения'!$K$25)^0,0)+IF(AND(12&gt;='Команда'!$C$14,12&lt;='Команда'!$D$14),'Команда'!$B$14*(1+'Допущения'!$K$25)^0,0)+IF(AND(12&gt;='Команда'!$C$15,12&lt;='Команда'!$D$15),'Команда'!$B$15*(1+'Допущения'!$K$25)^0,0)+IF(AND(12&gt;='Команда'!$C$16,12&lt;='Команда'!$D$16),'Команда'!$B$16*(1+'Допущения'!$K$25)^0,0)</x:f>
        <x:v>3450000</x:v>
      </x:c>
      <x:c r="N20" s="38" t="n">
        <x:f>IF(AND(13&gt;='Команда'!$C$4,13&lt;='Команда'!$D$4),'Команда'!$B$4*(1+'Допущения'!$K$25)^1,0)+IF(AND(13&gt;='Команда'!$C$5,13&lt;='Команда'!$D$5),'Команда'!$B$5*(1+'Допущения'!$K$25)^1,0)+IF(AND(13&gt;='Команда'!$C$6,13&lt;='Команда'!$D$6),'Команда'!$B$6*(1+'Допущения'!$K$25)^1,0)+IF(AND(13&gt;='Команда'!$C$7,13&lt;='Команда'!$D$7),'Команда'!$B$7*(1+'Допущения'!$K$25)^1,0)+IF(AND(13&gt;='Команда'!$C$8,13&lt;='Команда'!$D$8),'Команда'!$B$8*(1+'Допущения'!$K$25)^1,0)+IF(AND(13&gt;='Команда'!$C$9,13&lt;='Команда'!$D$9),'Команда'!$B$9*(1+'Допущения'!$K$25)^1,0)+IF(AND(13&gt;='Команда'!$C$10,13&lt;='Команда'!$D$10),'Команда'!$B$10*(1+'Допущения'!$K$25)^1,0)+IF(AND(13&gt;='Команда'!$C$11,13&lt;='Команда'!$D$11),'Команда'!$B$11*(1+'Допущения'!$K$25)^1,0)+IF(AND(13&gt;='Команда'!$C$12,13&lt;='Команда'!$D$12),'Команда'!$B$12*(1+'Допущения'!$K$25)^1,0)+IF(AND(13&gt;='Команда'!$C$13,13&lt;='Команда'!$D$13),'Команда'!$B$13*(1+'Допущения'!$K$25)^1,0)+IF(AND(13&gt;='Команда'!$C$14,13&lt;='Команда'!$D$14),'Команда'!$B$14*(1+'Допущения'!$K$25)^1,0)+IF(AND(13&gt;='Команда'!$C$15,13&lt;='Команда'!$D$15),'Команда'!$B$15*(1+'Допущения'!$K$25)^1,0)+IF(AND(13&gt;='Команда'!$C$16,13&lt;='Команда'!$D$16),'Команда'!$B$16*(1+'Допущения'!$K$25)^1,0)</x:f>
        <x:v>3630000</x:v>
      </x:c>
      <x:c r="O20" s="38" t="n">
        <x:f>IF(AND(14&gt;='Команда'!$C$4,14&lt;='Команда'!$D$4),'Команда'!$B$4*(1+'Допущения'!$K$25)^1,0)+IF(AND(14&gt;='Команда'!$C$5,14&lt;='Команда'!$D$5),'Команда'!$B$5*(1+'Допущения'!$K$25)^1,0)+IF(AND(14&gt;='Команда'!$C$6,14&lt;='Команда'!$D$6),'Команда'!$B$6*(1+'Допущения'!$K$25)^1,0)+IF(AND(14&gt;='Команда'!$C$7,14&lt;='Команда'!$D$7),'Команда'!$B$7*(1+'Допущения'!$K$25)^1,0)+IF(AND(14&gt;='Команда'!$C$8,14&lt;='Команда'!$D$8),'Команда'!$B$8*(1+'Допущения'!$K$25)^1,0)+IF(AND(14&gt;='Команда'!$C$9,14&lt;='Команда'!$D$9),'Команда'!$B$9*(1+'Допущения'!$K$25)^1,0)+IF(AND(14&gt;='Команда'!$C$10,14&lt;='Команда'!$D$10),'Команда'!$B$10*(1+'Допущения'!$K$25)^1,0)+IF(AND(14&gt;='Команда'!$C$11,14&lt;='Команда'!$D$11),'Команда'!$B$11*(1+'Допущения'!$K$25)^1,0)+IF(AND(14&gt;='Команда'!$C$12,14&lt;='Команда'!$D$12),'Команда'!$B$12*(1+'Допущения'!$K$25)^1,0)+IF(AND(14&gt;='Команда'!$C$13,14&lt;='Команда'!$D$13),'Команда'!$B$13*(1+'Допущения'!$K$25)^1,0)+IF(AND(14&gt;='Команда'!$C$14,14&lt;='Команда'!$D$14),'Команда'!$B$14*(1+'Допущения'!$K$25)^1,0)+IF(AND(14&gt;='Команда'!$C$15,14&lt;='Команда'!$D$15),'Команда'!$B$15*(1+'Допущения'!$K$25)^1,0)+IF(AND(14&gt;='Команда'!$C$16,14&lt;='Команда'!$D$16),'Команда'!$B$16*(1+'Допущения'!$K$25)^1,0)</x:f>
        <x:v>3630000</x:v>
      </x:c>
      <x:c r="P20" s="38" t="n">
        <x:f>IF(AND(15&gt;='Команда'!$C$4,15&lt;='Команда'!$D$4),'Команда'!$B$4*(1+'Допущения'!$K$25)^1,0)+IF(AND(15&gt;='Команда'!$C$5,15&lt;='Команда'!$D$5),'Команда'!$B$5*(1+'Допущения'!$K$25)^1,0)+IF(AND(15&gt;='Команда'!$C$6,15&lt;='Команда'!$D$6),'Команда'!$B$6*(1+'Допущения'!$K$25)^1,0)+IF(AND(15&gt;='Команда'!$C$7,15&lt;='Команда'!$D$7),'Команда'!$B$7*(1+'Допущения'!$K$25)^1,0)+IF(AND(15&gt;='Команда'!$C$8,15&lt;='Команда'!$D$8),'Команда'!$B$8*(1+'Допущения'!$K$25)^1,0)+IF(AND(15&gt;='Команда'!$C$9,15&lt;='Команда'!$D$9),'Команда'!$B$9*(1+'Допущения'!$K$25)^1,0)+IF(AND(15&gt;='Команда'!$C$10,15&lt;='Команда'!$D$10),'Команда'!$B$10*(1+'Допущения'!$K$25)^1,0)+IF(AND(15&gt;='Команда'!$C$11,15&lt;='Команда'!$D$11),'Команда'!$B$11*(1+'Допущения'!$K$25)^1,0)+IF(AND(15&gt;='Команда'!$C$12,15&lt;='Команда'!$D$12),'Команда'!$B$12*(1+'Допущения'!$K$25)^1,0)+IF(AND(15&gt;='Команда'!$C$13,15&lt;='Команда'!$D$13),'Команда'!$B$13*(1+'Допущения'!$K$25)^1,0)+IF(AND(15&gt;='Команда'!$C$14,15&lt;='Команда'!$D$14),'Команда'!$B$14*(1+'Допущения'!$K$25)^1,0)+IF(AND(15&gt;='Команда'!$C$15,15&lt;='Команда'!$D$15),'Команда'!$B$15*(1+'Допущения'!$K$25)^1,0)+IF(AND(15&gt;='Команда'!$C$16,15&lt;='Команда'!$D$16),'Команда'!$B$16*(1+'Допущения'!$K$25)^1,0)</x:f>
        <x:v>3630000</x:v>
      </x:c>
      <x:c r="Q20" s="38" t="n">
        <x:f>IF(AND(16&gt;='Команда'!$C$4,16&lt;='Команда'!$D$4),'Команда'!$B$4*(1+'Допущения'!$K$25)^1,0)+IF(AND(16&gt;='Команда'!$C$5,16&lt;='Команда'!$D$5),'Команда'!$B$5*(1+'Допущения'!$K$25)^1,0)+IF(AND(16&gt;='Команда'!$C$6,16&lt;='Команда'!$D$6),'Команда'!$B$6*(1+'Допущения'!$K$25)^1,0)+IF(AND(16&gt;='Команда'!$C$7,16&lt;='Команда'!$D$7),'Команда'!$B$7*(1+'Допущения'!$K$25)^1,0)+IF(AND(16&gt;='Команда'!$C$8,16&lt;='Команда'!$D$8),'Команда'!$B$8*(1+'Допущения'!$K$25)^1,0)+IF(AND(16&gt;='Команда'!$C$9,16&lt;='Команда'!$D$9),'Команда'!$B$9*(1+'Допущения'!$K$25)^1,0)+IF(AND(16&gt;='Команда'!$C$10,16&lt;='Команда'!$D$10),'Команда'!$B$10*(1+'Допущения'!$K$25)^1,0)+IF(AND(16&gt;='Команда'!$C$11,16&lt;='Команда'!$D$11),'Команда'!$B$11*(1+'Допущения'!$K$25)^1,0)+IF(AND(16&gt;='Команда'!$C$12,16&lt;='Команда'!$D$12),'Команда'!$B$12*(1+'Допущения'!$K$25)^1,0)+IF(AND(16&gt;='Команда'!$C$13,16&lt;='Команда'!$D$13),'Команда'!$B$13*(1+'Допущения'!$K$25)^1,0)+IF(AND(16&gt;='Команда'!$C$14,16&lt;='Команда'!$D$14),'Команда'!$B$14*(1+'Допущения'!$K$25)^1,0)+IF(AND(16&gt;='Команда'!$C$15,16&lt;='Команда'!$D$15),'Команда'!$B$15*(1+'Допущения'!$K$25)^1,0)+IF(AND(16&gt;='Команда'!$C$16,16&lt;='Команда'!$D$16),'Команда'!$B$16*(1+'Допущения'!$K$25)^1,0)</x:f>
        <x:v>3630000</x:v>
      </x:c>
      <x:c r="R20" s="38" t="n">
        <x:f>IF(AND(17&gt;='Команда'!$C$4,17&lt;='Команда'!$D$4),'Команда'!$B$4*(1+'Допущения'!$K$25)^1,0)+IF(AND(17&gt;='Команда'!$C$5,17&lt;='Команда'!$D$5),'Команда'!$B$5*(1+'Допущения'!$K$25)^1,0)+IF(AND(17&gt;='Команда'!$C$6,17&lt;='Команда'!$D$6),'Команда'!$B$6*(1+'Допущения'!$K$25)^1,0)+IF(AND(17&gt;='Команда'!$C$7,17&lt;='Команда'!$D$7),'Команда'!$B$7*(1+'Допущения'!$K$25)^1,0)+IF(AND(17&gt;='Команда'!$C$8,17&lt;='Команда'!$D$8),'Команда'!$B$8*(1+'Допущения'!$K$25)^1,0)+IF(AND(17&gt;='Команда'!$C$9,17&lt;='Команда'!$D$9),'Команда'!$B$9*(1+'Допущения'!$K$25)^1,0)+IF(AND(17&gt;='Команда'!$C$10,17&lt;='Команда'!$D$10),'Команда'!$B$10*(1+'Допущения'!$K$25)^1,0)+IF(AND(17&gt;='Команда'!$C$11,17&lt;='Команда'!$D$11),'Команда'!$B$11*(1+'Допущения'!$K$25)^1,0)+IF(AND(17&gt;='Команда'!$C$12,17&lt;='Команда'!$D$12),'Команда'!$B$12*(1+'Допущения'!$K$25)^1,0)+IF(AND(17&gt;='Команда'!$C$13,17&lt;='Команда'!$D$13),'Команда'!$B$13*(1+'Допущения'!$K$25)^1,0)+IF(AND(17&gt;='Команда'!$C$14,17&lt;='Команда'!$D$14),'Команда'!$B$14*(1+'Допущения'!$K$25)^1,0)+IF(AND(17&gt;='Команда'!$C$15,17&lt;='Команда'!$D$15),'Команда'!$B$15*(1+'Допущения'!$K$25)^1,0)+IF(AND(17&gt;='Команда'!$C$16,17&lt;='Команда'!$D$16),'Команда'!$B$16*(1+'Допущения'!$K$25)^1,0)</x:f>
        <x:v>3630000</x:v>
      </x:c>
      <x:c r="S20" s="38" t="n">
        <x:f>IF(AND(18&gt;='Команда'!$C$4,18&lt;='Команда'!$D$4),'Команда'!$B$4*(1+'Допущения'!$K$25)^1,0)+IF(AND(18&gt;='Команда'!$C$5,18&lt;='Команда'!$D$5),'Команда'!$B$5*(1+'Допущения'!$K$25)^1,0)+IF(AND(18&gt;='Команда'!$C$6,18&lt;='Команда'!$D$6),'Команда'!$B$6*(1+'Допущения'!$K$25)^1,0)+IF(AND(18&gt;='Команда'!$C$7,18&lt;='Команда'!$D$7),'Команда'!$B$7*(1+'Допущения'!$K$25)^1,0)+IF(AND(18&gt;='Команда'!$C$8,18&lt;='Команда'!$D$8),'Команда'!$B$8*(1+'Допущения'!$K$25)^1,0)+IF(AND(18&gt;='Команда'!$C$9,18&lt;='Команда'!$D$9),'Команда'!$B$9*(1+'Допущения'!$K$25)^1,0)+IF(AND(18&gt;='Команда'!$C$10,18&lt;='Команда'!$D$10),'Команда'!$B$10*(1+'Допущения'!$K$25)^1,0)+IF(AND(18&gt;='Команда'!$C$11,18&lt;='Команда'!$D$11),'Команда'!$B$11*(1+'Допущения'!$K$25)^1,0)+IF(AND(18&gt;='Команда'!$C$12,18&lt;='Команда'!$D$12),'Команда'!$B$12*(1+'Допущения'!$K$25)^1,0)+IF(AND(18&gt;='Команда'!$C$13,18&lt;='Команда'!$D$13),'Команда'!$B$13*(1+'Допущения'!$K$25)^1,0)+IF(AND(18&gt;='Команда'!$C$14,18&lt;='Команда'!$D$14),'Команда'!$B$14*(1+'Допущения'!$K$25)^1,0)+IF(AND(18&gt;='Команда'!$C$15,18&lt;='Команда'!$D$15),'Команда'!$B$15*(1+'Допущения'!$K$25)^1,0)+IF(AND(18&gt;='Команда'!$C$16,18&lt;='Команда'!$D$16),'Команда'!$B$16*(1+'Допущения'!$K$25)^1,0)</x:f>
        <x:v>3630000</x:v>
      </x:c>
      <x:c r="T20" s="38" t="n">
        <x:f>IF(AND(19&gt;='Команда'!$C$4,19&lt;='Команда'!$D$4),'Команда'!$B$4*(1+'Допущения'!$K$25)^1,0)+IF(AND(19&gt;='Команда'!$C$5,19&lt;='Команда'!$D$5),'Команда'!$B$5*(1+'Допущения'!$K$25)^1,0)+IF(AND(19&gt;='Команда'!$C$6,19&lt;='Команда'!$D$6),'Команда'!$B$6*(1+'Допущения'!$K$25)^1,0)+IF(AND(19&gt;='Команда'!$C$7,19&lt;='Команда'!$D$7),'Команда'!$B$7*(1+'Допущения'!$K$25)^1,0)+IF(AND(19&gt;='Команда'!$C$8,19&lt;='Команда'!$D$8),'Команда'!$B$8*(1+'Допущения'!$K$25)^1,0)+IF(AND(19&gt;='Команда'!$C$9,19&lt;='Команда'!$D$9),'Команда'!$B$9*(1+'Допущения'!$K$25)^1,0)+IF(AND(19&gt;='Команда'!$C$10,19&lt;='Команда'!$D$10),'Команда'!$B$10*(1+'Допущения'!$K$25)^1,0)+IF(AND(19&gt;='Команда'!$C$11,19&lt;='Команда'!$D$11),'Команда'!$B$11*(1+'Допущения'!$K$25)^1,0)+IF(AND(19&gt;='Команда'!$C$12,19&lt;='Команда'!$D$12),'Команда'!$B$12*(1+'Допущения'!$K$25)^1,0)+IF(AND(19&gt;='Команда'!$C$13,19&lt;='Команда'!$D$13),'Команда'!$B$13*(1+'Допущения'!$K$25)^1,0)+IF(AND(19&gt;='Команда'!$C$14,19&lt;='Команда'!$D$14),'Команда'!$B$14*(1+'Допущения'!$K$25)^1,0)+IF(AND(19&gt;='Команда'!$C$15,19&lt;='Команда'!$D$15),'Команда'!$B$15*(1+'Допущения'!$K$25)^1,0)+IF(AND(19&gt;='Команда'!$C$16,19&lt;='Команда'!$D$16),'Команда'!$B$16*(1+'Допущения'!$K$25)^1,0)</x:f>
        <x:v>3630000</x:v>
      </x:c>
      <x:c r="U20" s="38" t="n">
        <x:f>IF(AND(20&gt;='Команда'!$C$4,20&lt;='Команда'!$D$4),'Команда'!$B$4*(1+'Допущения'!$K$25)^1,0)+IF(AND(20&gt;='Команда'!$C$5,20&lt;='Команда'!$D$5),'Команда'!$B$5*(1+'Допущения'!$K$25)^1,0)+IF(AND(20&gt;='Команда'!$C$6,20&lt;='Команда'!$D$6),'Команда'!$B$6*(1+'Допущения'!$K$25)^1,0)+IF(AND(20&gt;='Команда'!$C$7,20&lt;='Команда'!$D$7),'Команда'!$B$7*(1+'Допущения'!$K$25)^1,0)+IF(AND(20&gt;='Команда'!$C$8,20&lt;='Команда'!$D$8),'Команда'!$B$8*(1+'Допущения'!$K$25)^1,0)+IF(AND(20&gt;='Команда'!$C$9,20&lt;='Команда'!$D$9),'Команда'!$B$9*(1+'Допущения'!$K$25)^1,0)+IF(AND(20&gt;='Команда'!$C$10,20&lt;='Команда'!$D$10),'Команда'!$B$10*(1+'Допущения'!$K$25)^1,0)+IF(AND(20&gt;='Команда'!$C$11,20&lt;='Команда'!$D$11),'Команда'!$B$11*(1+'Допущения'!$K$25)^1,0)+IF(AND(20&gt;='Команда'!$C$12,20&lt;='Команда'!$D$12),'Команда'!$B$12*(1+'Допущения'!$K$25)^1,0)+IF(AND(20&gt;='Команда'!$C$13,20&lt;='Команда'!$D$13),'Команда'!$B$13*(1+'Допущения'!$K$25)^1,0)+IF(AND(20&gt;='Команда'!$C$14,20&lt;='Команда'!$D$14),'Команда'!$B$14*(1+'Допущения'!$K$25)^1,0)+IF(AND(20&gt;='Команда'!$C$15,20&lt;='Команда'!$D$15),'Команда'!$B$15*(1+'Допущения'!$K$25)^1,0)+IF(AND(20&gt;='Команда'!$C$16,20&lt;='Команда'!$D$16),'Команда'!$B$16*(1+'Допущения'!$K$25)^1,0)</x:f>
        <x:v>3630000</x:v>
      </x:c>
      <x:c r="V20" s="38" t="n">
        <x:f>IF(AND(21&gt;='Команда'!$C$4,21&lt;='Команда'!$D$4),'Команда'!$B$4*(1+'Допущения'!$K$25)^1,0)+IF(AND(21&gt;='Команда'!$C$5,21&lt;='Команда'!$D$5),'Команда'!$B$5*(1+'Допущения'!$K$25)^1,0)+IF(AND(21&gt;='Команда'!$C$6,21&lt;='Команда'!$D$6),'Команда'!$B$6*(1+'Допущения'!$K$25)^1,0)+IF(AND(21&gt;='Команда'!$C$7,21&lt;='Команда'!$D$7),'Команда'!$B$7*(1+'Допущения'!$K$25)^1,0)+IF(AND(21&gt;='Команда'!$C$8,21&lt;='Команда'!$D$8),'Команда'!$B$8*(1+'Допущения'!$K$25)^1,0)+IF(AND(21&gt;='Команда'!$C$9,21&lt;='Команда'!$D$9),'Команда'!$B$9*(1+'Допущения'!$K$25)^1,0)+IF(AND(21&gt;='Команда'!$C$10,21&lt;='Команда'!$D$10),'Команда'!$B$10*(1+'Допущения'!$K$25)^1,0)+IF(AND(21&gt;='Команда'!$C$11,21&lt;='Команда'!$D$11),'Команда'!$B$11*(1+'Допущения'!$K$25)^1,0)+IF(AND(21&gt;='Команда'!$C$12,21&lt;='Команда'!$D$12),'Команда'!$B$12*(1+'Допущения'!$K$25)^1,0)+IF(AND(21&gt;='Команда'!$C$13,21&lt;='Команда'!$D$13),'Команда'!$B$13*(1+'Допущения'!$K$25)^1,0)+IF(AND(21&gt;='Команда'!$C$14,21&lt;='Команда'!$D$14),'Команда'!$B$14*(1+'Допущения'!$K$25)^1,0)+IF(AND(21&gt;='Команда'!$C$15,21&lt;='Команда'!$D$15),'Команда'!$B$15*(1+'Допущения'!$K$25)^1,0)+IF(AND(21&gt;='Команда'!$C$16,21&lt;='Команда'!$D$16),'Команда'!$B$16*(1+'Допущения'!$K$25)^1,0)</x:f>
        <x:v>3630000</x:v>
      </x:c>
      <x:c r="W20" s="38" t="n">
        <x:f>IF(AND(22&gt;='Команда'!$C$4,22&lt;='Команда'!$D$4),'Команда'!$B$4*(1+'Допущения'!$K$25)^1,0)+IF(AND(22&gt;='Команда'!$C$5,22&lt;='Команда'!$D$5),'Команда'!$B$5*(1+'Допущения'!$K$25)^1,0)+IF(AND(22&gt;='Команда'!$C$6,22&lt;='Команда'!$D$6),'Команда'!$B$6*(1+'Допущения'!$K$25)^1,0)+IF(AND(22&gt;='Команда'!$C$7,22&lt;='Команда'!$D$7),'Команда'!$B$7*(1+'Допущения'!$K$25)^1,0)+IF(AND(22&gt;='Команда'!$C$8,22&lt;='Команда'!$D$8),'Команда'!$B$8*(1+'Допущения'!$K$25)^1,0)+IF(AND(22&gt;='Команда'!$C$9,22&lt;='Команда'!$D$9),'Команда'!$B$9*(1+'Допущения'!$K$25)^1,0)+IF(AND(22&gt;='Команда'!$C$10,22&lt;='Команда'!$D$10),'Команда'!$B$10*(1+'Допущения'!$K$25)^1,0)+IF(AND(22&gt;='Команда'!$C$11,22&lt;='Команда'!$D$11),'Команда'!$B$11*(1+'Допущения'!$K$25)^1,0)+IF(AND(22&gt;='Команда'!$C$12,22&lt;='Команда'!$D$12),'Команда'!$B$12*(1+'Допущения'!$K$25)^1,0)+IF(AND(22&gt;='Команда'!$C$13,22&lt;='Команда'!$D$13),'Команда'!$B$13*(1+'Допущения'!$K$25)^1,0)+IF(AND(22&gt;='Команда'!$C$14,22&lt;='Команда'!$D$14),'Команда'!$B$14*(1+'Допущения'!$K$25)^1,0)+IF(AND(22&gt;='Команда'!$C$15,22&lt;='Команда'!$D$15),'Команда'!$B$15*(1+'Допущения'!$K$25)^1,0)+IF(AND(22&gt;='Команда'!$C$16,22&lt;='Команда'!$D$16),'Команда'!$B$16*(1+'Допущения'!$K$25)^1,0)</x:f>
        <x:v>3630000</x:v>
      </x:c>
      <x:c r="X20" s="38" t="n">
        <x:f>IF(AND(23&gt;='Команда'!$C$4,23&lt;='Команда'!$D$4),'Команда'!$B$4*(1+'Допущения'!$K$25)^1,0)+IF(AND(23&gt;='Команда'!$C$5,23&lt;='Команда'!$D$5),'Команда'!$B$5*(1+'Допущения'!$K$25)^1,0)+IF(AND(23&gt;='Команда'!$C$6,23&lt;='Команда'!$D$6),'Команда'!$B$6*(1+'Допущения'!$K$25)^1,0)+IF(AND(23&gt;='Команда'!$C$7,23&lt;='Команда'!$D$7),'Команда'!$B$7*(1+'Допущения'!$K$25)^1,0)+IF(AND(23&gt;='Команда'!$C$8,23&lt;='Команда'!$D$8),'Команда'!$B$8*(1+'Допущения'!$K$25)^1,0)+IF(AND(23&gt;='Команда'!$C$9,23&lt;='Команда'!$D$9),'Команда'!$B$9*(1+'Допущения'!$K$25)^1,0)+IF(AND(23&gt;='Команда'!$C$10,23&lt;='Команда'!$D$10),'Команда'!$B$10*(1+'Допущения'!$K$25)^1,0)+IF(AND(23&gt;='Команда'!$C$11,23&lt;='Команда'!$D$11),'Команда'!$B$11*(1+'Допущения'!$K$25)^1,0)+IF(AND(23&gt;='Команда'!$C$12,23&lt;='Команда'!$D$12),'Команда'!$B$12*(1+'Допущения'!$K$25)^1,0)+IF(AND(23&gt;='Команда'!$C$13,23&lt;='Команда'!$D$13),'Команда'!$B$13*(1+'Допущения'!$K$25)^1,0)+IF(AND(23&gt;='Команда'!$C$14,23&lt;='Команда'!$D$14),'Команда'!$B$14*(1+'Допущения'!$K$25)^1,0)+IF(AND(23&gt;='Команда'!$C$15,23&lt;='Команда'!$D$15),'Команда'!$B$15*(1+'Допущения'!$K$25)^1,0)+IF(AND(23&gt;='Команда'!$C$16,23&lt;='Команда'!$D$16),'Команда'!$B$16*(1+'Допущения'!$K$25)^1,0)</x:f>
        <x:v>3630000</x:v>
      </x:c>
      <x:c r="Y20" s="38" t="n">
        <x:f>IF(AND(24&gt;='Команда'!$C$4,24&lt;='Команда'!$D$4),'Команда'!$B$4*(1+'Допущения'!$K$25)^1,0)+IF(AND(24&gt;='Команда'!$C$5,24&lt;='Команда'!$D$5),'Команда'!$B$5*(1+'Допущения'!$K$25)^1,0)+IF(AND(24&gt;='Команда'!$C$6,24&lt;='Команда'!$D$6),'Команда'!$B$6*(1+'Допущения'!$K$25)^1,0)+IF(AND(24&gt;='Команда'!$C$7,24&lt;='Команда'!$D$7),'Команда'!$B$7*(1+'Допущения'!$K$25)^1,0)+IF(AND(24&gt;='Команда'!$C$8,24&lt;='Команда'!$D$8),'Команда'!$B$8*(1+'Допущения'!$K$25)^1,0)+IF(AND(24&gt;='Команда'!$C$9,24&lt;='Команда'!$D$9),'Команда'!$B$9*(1+'Допущения'!$K$25)^1,0)+IF(AND(24&gt;='Команда'!$C$10,24&lt;='Команда'!$D$10),'Команда'!$B$10*(1+'Допущения'!$K$25)^1,0)+IF(AND(24&gt;='Команда'!$C$11,24&lt;='Команда'!$D$11),'Команда'!$B$11*(1+'Допущения'!$K$25)^1,0)+IF(AND(24&gt;='Команда'!$C$12,24&lt;='Команда'!$D$12),'Команда'!$B$12*(1+'Допущения'!$K$25)^1,0)+IF(AND(24&gt;='Команда'!$C$13,24&lt;='Команда'!$D$13),'Команда'!$B$13*(1+'Допущения'!$K$25)^1,0)+IF(AND(24&gt;='Команда'!$C$14,24&lt;='Команда'!$D$14),'Команда'!$B$14*(1+'Допущения'!$K$25)^1,0)+IF(AND(24&gt;='Команда'!$C$15,24&lt;='Команда'!$D$15),'Команда'!$B$15*(1+'Допущения'!$K$25)^1,0)+IF(AND(24&gt;='Команда'!$C$16,24&lt;='Команда'!$D$16),'Команда'!$B$16*(1+'Допущения'!$K$25)^1,0)</x:f>
        <x:v>3630000</x:v>
      </x:c>
      <x:c r="Z20" s="38" t="n">
        <x:f>IF(AND(25&gt;='Команда'!$C$4,25&lt;='Команда'!$D$4),'Команда'!$B$4*(1+'Допущения'!$K$25)^2,0)+IF(AND(25&gt;='Команда'!$C$5,25&lt;='Команда'!$D$5),'Команда'!$B$5*(1+'Допущения'!$K$25)^2,0)+IF(AND(25&gt;='Команда'!$C$6,25&lt;='Команда'!$D$6),'Команда'!$B$6*(1+'Допущения'!$K$25)^2,0)+IF(AND(25&gt;='Команда'!$C$7,25&lt;='Команда'!$D$7),'Команда'!$B$7*(1+'Допущения'!$K$25)^2,0)+IF(AND(25&gt;='Команда'!$C$8,25&lt;='Команда'!$D$8),'Команда'!$B$8*(1+'Допущения'!$K$25)^2,0)+IF(AND(25&gt;='Команда'!$C$9,25&lt;='Команда'!$D$9),'Команда'!$B$9*(1+'Допущения'!$K$25)^2,0)+IF(AND(25&gt;='Команда'!$C$10,25&lt;='Команда'!$D$10),'Команда'!$B$10*(1+'Допущения'!$K$25)^2,0)+IF(AND(25&gt;='Команда'!$C$11,25&lt;='Команда'!$D$11),'Команда'!$B$11*(1+'Допущения'!$K$25)^2,0)+IF(AND(25&gt;='Команда'!$C$12,25&lt;='Команда'!$D$12),'Команда'!$B$12*(1+'Допущения'!$K$25)^2,0)+IF(AND(25&gt;='Команда'!$C$13,25&lt;='Команда'!$D$13),'Команда'!$B$13*(1+'Допущения'!$K$25)^2,0)+IF(AND(25&gt;='Команда'!$C$14,25&lt;='Команда'!$D$14),'Команда'!$B$14*(1+'Допущения'!$K$25)^2,0)+IF(AND(25&gt;='Команда'!$C$15,25&lt;='Команда'!$D$15),'Команда'!$B$15*(1+'Допущения'!$K$25)^2,0)+IF(AND(25&gt;='Команда'!$C$16,25&lt;='Команда'!$D$16),'Команда'!$B$16*(1+'Допущения'!$K$25)^2,0)</x:f>
        <x:v>3993000.0000000005</x:v>
      </x:c>
      <x:c r="AA20" s="38" t="n">
        <x:f>IF(AND(26&gt;='Команда'!$C$4,26&lt;='Команда'!$D$4),'Команда'!$B$4*(1+'Допущения'!$K$25)^2,0)+IF(AND(26&gt;='Команда'!$C$5,26&lt;='Команда'!$D$5),'Команда'!$B$5*(1+'Допущения'!$K$25)^2,0)+IF(AND(26&gt;='Команда'!$C$6,26&lt;='Команда'!$D$6),'Команда'!$B$6*(1+'Допущения'!$K$25)^2,0)+IF(AND(26&gt;='Команда'!$C$7,26&lt;='Команда'!$D$7),'Команда'!$B$7*(1+'Допущения'!$K$25)^2,0)+IF(AND(26&gt;='Команда'!$C$8,26&lt;='Команда'!$D$8),'Команда'!$B$8*(1+'Допущения'!$K$25)^2,0)+IF(AND(26&gt;='Команда'!$C$9,26&lt;='Команда'!$D$9),'Команда'!$B$9*(1+'Допущения'!$K$25)^2,0)+IF(AND(26&gt;='Команда'!$C$10,26&lt;='Команда'!$D$10),'Команда'!$B$10*(1+'Допущения'!$K$25)^2,0)+IF(AND(26&gt;='Команда'!$C$11,26&lt;='Команда'!$D$11),'Команда'!$B$11*(1+'Допущения'!$K$25)^2,0)+IF(AND(26&gt;='Команда'!$C$12,26&lt;='Команда'!$D$12),'Команда'!$B$12*(1+'Допущения'!$K$25)^2,0)+IF(AND(26&gt;='Команда'!$C$13,26&lt;='Команда'!$D$13),'Команда'!$B$13*(1+'Допущения'!$K$25)^2,0)+IF(AND(26&gt;='Команда'!$C$14,26&lt;='Команда'!$D$14),'Команда'!$B$14*(1+'Допущения'!$K$25)^2,0)+IF(AND(26&gt;='Команда'!$C$15,26&lt;='Команда'!$D$15),'Команда'!$B$15*(1+'Допущения'!$K$25)^2,0)+IF(AND(26&gt;='Команда'!$C$16,26&lt;='Команда'!$D$16),'Команда'!$B$16*(1+'Допущения'!$K$25)^2,0)</x:f>
        <x:v>3993000.0000000005</x:v>
      </x:c>
      <x:c r="AB20" s="38" t="n">
        <x:f>IF(AND(27&gt;='Команда'!$C$4,27&lt;='Команда'!$D$4),'Команда'!$B$4*(1+'Допущения'!$K$25)^2,0)+IF(AND(27&gt;='Команда'!$C$5,27&lt;='Команда'!$D$5),'Команда'!$B$5*(1+'Допущения'!$K$25)^2,0)+IF(AND(27&gt;='Команда'!$C$6,27&lt;='Команда'!$D$6),'Команда'!$B$6*(1+'Допущения'!$K$25)^2,0)+IF(AND(27&gt;='Команда'!$C$7,27&lt;='Команда'!$D$7),'Команда'!$B$7*(1+'Допущения'!$K$25)^2,0)+IF(AND(27&gt;='Команда'!$C$8,27&lt;='Команда'!$D$8),'Команда'!$B$8*(1+'Допущения'!$K$25)^2,0)+IF(AND(27&gt;='Команда'!$C$9,27&lt;='Команда'!$D$9),'Команда'!$B$9*(1+'Допущения'!$K$25)^2,0)+IF(AND(27&gt;='Команда'!$C$10,27&lt;='Команда'!$D$10),'Команда'!$B$10*(1+'Допущения'!$K$25)^2,0)+IF(AND(27&gt;='Команда'!$C$11,27&lt;='Команда'!$D$11),'Команда'!$B$11*(1+'Допущения'!$K$25)^2,0)+IF(AND(27&gt;='Команда'!$C$12,27&lt;='Команда'!$D$12),'Команда'!$B$12*(1+'Допущения'!$K$25)^2,0)+IF(AND(27&gt;='Команда'!$C$13,27&lt;='Команда'!$D$13),'Команда'!$B$13*(1+'Допущения'!$K$25)^2,0)+IF(AND(27&gt;='Команда'!$C$14,27&lt;='Команда'!$D$14),'Команда'!$B$14*(1+'Допущения'!$K$25)^2,0)+IF(AND(27&gt;='Команда'!$C$15,27&lt;='Команда'!$D$15),'Команда'!$B$15*(1+'Допущения'!$K$25)^2,0)+IF(AND(27&gt;='Команда'!$C$16,27&lt;='Команда'!$D$16),'Команда'!$B$16*(1+'Допущения'!$K$25)^2,0)</x:f>
        <x:v>3993000.0000000005</x:v>
      </x:c>
      <x:c r="AC20" s="38" t="n">
        <x:f>IF(AND(28&gt;='Команда'!$C$4,28&lt;='Команда'!$D$4),'Команда'!$B$4*(1+'Допущения'!$K$25)^2,0)+IF(AND(28&gt;='Команда'!$C$5,28&lt;='Команда'!$D$5),'Команда'!$B$5*(1+'Допущения'!$K$25)^2,0)+IF(AND(28&gt;='Команда'!$C$6,28&lt;='Команда'!$D$6),'Команда'!$B$6*(1+'Допущения'!$K$25)^2,0)+IF(AND(28&gt;='Команда'!$C$7,28&lt;='Команда'!$D$7),'Команда'!$B$7*(1+'Допущения'!$K$25)^2,0)+IF(AND(28&gt;='Команда'!$C$8,28&lt;='Команда'!$D$8),'Команда'!$B$8*(1+'Допущения'!$K$25)^2,0)+IF(AND(28&gt;='Команда'!$C$9,28&lt;='Команда'!$D$9),'Команда'!$B$9*(1+'Допущения'!$K$25)^2,0)+IF(AND(28&gt;='Команда'!$C$10,28&lt;='Команда'!$D$10),'Команда'!$B$10*(1+'Допущения'!$K$25)^2,0)+IF(AND(28&gt;='Команда'!$C$11,28&lt;='Команда'!$D$11),'Команда'!$B$11*(1+'Допущения'!$K$25)^2,0)+IF(AND(28&gt;='Команда'!$C$12,28&lt;='Команда'!$D$12),'Команда'!$B$12*(1+'Допущения'!$K$25)^2,0)+IF(AND(28&gt;='Команда'!$C$13,28&lt;='Команда'!$D$13),'Команда'!$B$13*(1+'Допущения'!$K$25)^2,0)+IF(AND(28&gt;='Команда'!$C$14,28&lt;='Команда'!$D$14),'Команда'!$B$14*(1+'Допущения'!$K$25)^2,0)+IF(AND(28&gt;='Команда'!$C$15,28&lt;='Команда'!$D$15),'Команда'!$B$15*(1+'Допущения'!$K$25)^2,0)+IF(AND(28&gt;='Команда'!$C$16,28&lt;='Команда'!$D$16),'Команда'!$B$16*(1+'Допущения'!$K$25)^2,0)</x:f>
        <x:v>3993000.0000000005</x:v>
      </x:c>
      <x:c r="AD20" s="38" t="n">
        <x:f>IF(AND(29&gt;='Команда'!$C$4,29&lt;='Команда'!$D$4),'Команда'!$B$4*(1+'Допущения'!$K$25)^2,0)+IF(AND(29&gt;='Команда'!$C$5,29&lt;='Команда'!$D$5),'Команда'!$B$5*(1+'Допущения'!$K$25)^2,0)+IF(AND(29&gt;='Команда'!$C$6,29&lt;='Команда'!$D$6),'Команда'!$B$6*(1+'Допущения'!$K$25)^2,0)+IF(AND(29&gt;='Команда'!$C$7,29&lt;='Команда'!$D$7),'Команда'!$B$7*(1+'Допущения'!$K$25)^2,0)+IF(AND(29&gt;='Команда'!$C$8,29&lt;='Команда'!$D$8),'Команда'!$B$8*(1+'Допущения'!$K$25)^2,0)+IF(AND(29&gt;='Команда'!$C$9,29&lt;='Команда'!$D$9),'Команда'!$B$9*(1+'Допущения'!$K$25)^2,0)+IF(AND(29&gt;='Команда'!$C$10,29&lt;='Команда'!$D$10),'Команда'!$B$10*(1+'Допущения'!$K$25)^2,0)+IF(AND(29&gt;='Команда'!$C$11,29&lt;='Команда'!$D$11),'Команда'!$B$11*(1+'Допущения'!$K$25)^2,0)+IF(AND(29&gt;='Команда'!$C$12,29&lt;='Команда'!$D$12),'Команда'!$B$12*(1+'Допущения'!$K$25)^2,0)+IF(AND(29&gt;='Команда'!$C$13,29&lt;='Команда'!$D$13),'Команда'!$B$13*(1+'Допущения'!$K$25)^2,0)+IF(AND(29&gt;='Команда'!$C$14,29&lt;='Команда'!$D$14),'Команда'!$B$14*(1+'Допущения'!$K$25)^2,0)+IF(AND(29&gt;='Команда'!$C$15,29&lt;='Команда'!$D$15),'Команда'!$B$15*(1+'Допущения'!$K$25)^2,0)+IF(AND(29&gt;='Команда'!$C$16,29&lt;='Команда'!$D$16),'Команда'!$B$16*(1+'Допущения'!$K$25)^2,0)</x:f>
        <x:v>3993000.0000000005</x:v>
      </x:c>
      <x:c r="AE20" s="38" t="n">
        <x:f>IF(AND(30&gt;='Команда'!$C$4,30&lt;='Команда'!$D$4),'Команда'!$B$4*(1+'Допущения'!$K$25)^2,0)+IF(AND(30&gt;='Команда'!$C$5,30&lt;='Команда'!$D$5),'Команда'!$B$5*(1+'Допущения'!$K$25)^2,0)+IF(AND(30&gt;='Команда'!$C$6,30&lt;='Команда'!$D$6),'Команда'!$B$6*(1+'Допущения'!$K$25)^2,0)+IF(AND(30&gt;='Команда'!$C$7,30&lt;='Команда'!$D$7),'Команда'!$B$7*(1+'Допущения'!$K$25)^2,0)+IF(AND(30&gt;='Команда'!$C$8,30&lt;='Команда'!$D$8),'Команда'!$B$8*(1+'Допущения'!$K$25)^2,0)+IF(AND(30&gt;='Команда'!$C$9,30&lt;='Команда'!$D$9),'Команда'!$B$9*(1+'Допущения'!$K$25)^2,0)+IF(AND(30&gt;='Команда'!$C$10,30&lt;='Команда'!$D$10),'Команда'!$B$10*(1+'Допущения'!$K$25)^2,0)+IF(AND(30&gt;='Команда'!$C$11,30&lt;='Команда'!$D$11),'Команда'!$B$11*(1+'Допущения'!$K$25)^2,0)+IF(AND(30&gt;='Команда'!$C$12,30&lt;='Команда'!$D$12),'Команда'!$B$12*(1+'Допущения'!$K$25)^2,0)+IF(AND(30&gt;='Команда'!$C$13,30&lt;='Команда'!$D$13),'Команда'!$B$13*(1+'Допущения'!$K$25)^2,0)+IF(AND(30&gt;='Команда'!$C$14,30&lt;='Команда'!$D$14),'Команда'!$B$14*(1+'Допущения'!$K$25)^2,0)+IF(AND(30&gt;='Команда'!$C$15,30&lt;='Команда'!$D$15),'Команда'!$B$15*(1+'Допущения'!$K$25)^2,0)+IF(AND(30&gt;='Команда'!$C$16,30&lt;='Команда'!$D$16),'Команда'!$B$16*(1+'Допущения'!$K$25)^2,0)</x:f>
        <x:v>3993000.0000000005</x:v>
      </x:c>
      <x:c r="AF20" s="38" t="n">
        <x:f>IF(AND(31&gt;='Команда'!$C$4,31&lt;='Команда'!$D$4),'Команда'!$B$4*(1+'Допущения'!$K$25)^2,0)+IF(AND(31&gt;='Команда'!$C$5,31&lt;='Команда'!$D$5),'Команда'!$B$5*(1+'Допущения'!$K$25)^2,0)+IF(AND(31&gt;='Команда'!$C$6,31&lt;='Команда'!$D$6),'Команда'!$B$6*(1+'Допущения'!$K$25)^2,0)+IF(AND(31&gt;='Команда'!$C$7,31&lt;='Команда'!$D$7),'Команда'!$B$7*(1+'Допущения'!$K$25)^2,0)+IF(AND(31&gt;='Команда'!$C$8,31&lt;='Команда'!$D$8),'Команда'!$B$8*(1+'Допущения'!$K$25)^2,0)+IF(AND(31&gt;='Команда'!$C$9,31&lt;='Команда'!$D$9),'Команда'!$B$9*(1+'Допущения'!$K$25)^2,0)+IF(AND(31&gt;='Команда'!$C$10,31&lt;='Команда'!$D$10),'Команда'!$B$10*(1+'Допущения'!$K$25)^2,0)+IF(AND(31&gt;='Команда'!$C$11,31&lt;='Команда'!$D$11),'Команда'!$B$11*(1+'Допущения'!$K$25)^2,0)+IF(AND(31&gt;='Команда'!$C$12,31&lt;='Команда'!$D$12),'Команда'!$B$12*(1+'Допущения'!$K$25)^2,0)+IF(AND(31&gt;='Команда'!$C$13,31&lt;='Команда'!$D$13),'Команда'!$B$13*(1+'Допущения'!$K$25)^2,0)+IF(AND(31&gt;='Команда'!$C$14,31&lt;='Команда'!$D$14),'Команда'!$B$14*(1+'Допущения'!$K$25)^2,0)+IF(AND(31&gt;='Команда'!$C$15,31&lt;='Команда'!$D$15),'Команда'!$B$15*(1+'Допущения'!$K$25)^2,0)+IF(AND(31&gt;='Команда'!$C$16,31&lt;='Команда'!$D$16),'Команда'!$B$16*(1+'Допущения'!$K$25)^2,0)</x:f>
        <x:v>3993000.0000000005</x:v>
      </x:c>
      <x:c r="AG20" s="38" t="n">
        <x:f>IF(AND(32&gt;='Команда'!$C$4,32&lt;='Команда'!$D$4),'Команда'!$B$4*(1+'Допущения'!$K$25)^2,0)+IF(AND(32&gt;='Команда'!$C$5,32&lt;='Команда'!$D$5),'Команда'!$B$5*(1+'Допущения'!$K$25)^2,0)+IF(AND(32&gt;='Команда'!$C$6,32&lt;='Команда'!$D$6),'Команда'!$B$6*(1+'Допущения'!$K$25)^2,0)+IF(AND(32&gt;='Команда'!$C$7,32&lt;='Команда'!$D$7),'Команда'!$B$7*(1+'Допущения'!$K$25)^2,0)+IF(AND(32&gt;='Команда'!$C$8,32&lt;='Команда'!$D$8),'Команда'!$B$8*(1+'Допущения'!$K$25)^2,0)+IF(AND(32&gt;='Команда'!$C$9,32&lt;='Команда'!$D$9),'Команда'!$B$9*(1+'Допущения'!$K$25)^2,0)+IF(AND(32&gt;='Команда'!$C$10,32&lt;='Команда'!$D$10),'Команда'!$B$10*(1+'Допущения'!$K$25)^2,0)+IF(AND(32&gt;='Команда'!$C$11,32&lt;='Команда'!$D$11),'Команда'!$B$11*(1+'Допущения'!$K$25)^2,0)+IF(AND(32&gt;='Команда'!$C$12,32&lt;='Команда'!$D$12),'Команда'!$B$12*(1+'Допущения'!$K$25)^2,0)+IF(AND(32&gt;='Команда'!$C$13,32&lt;='Команда'!$D$13),'Команда'!$B$13*(1+'Допущения'!$K$25)^2,0)+IF(AND(32&gt;='Команда'!$C$14,32&lt;='Команда'!$D$14),'Команда'!$B$14*(1+'Допущения'!$K$25)^2,0)+IF(AND(32&gt;='Команда'!$C$15,32&lt;='Команда'!$D$15),'Команда'!$B$15*(1+'Допущения'!$K$25)^2,0)+IF(AND(32&gt;='Команда'!$C$16,32&lt;='Команда'!$D$16),'Команда'!$B$16*(1+'Допущения'!$K$25)^2,0)</x:f>
        <x:v>3993000.0000000005</x:v>
      </x:c>
      <x:c r="AH20" s="38" t="n">
        <x:f>IF(AND(33&gt;='Команда'!$C$4,33&lt;='Команда'!$D$4),'Команда'!$B$4*(1+'Допущения'!$K$25)^2,0)+IF(AND(33&gt;='Команда'!$C$5,33&lt;='Команда'!$D$5),'Команда'!$B$5*(1+'Допущения'!$K$25)^2,0)+IF(AND(33&gt;='Команда'!$C$6,33&lt;='Команда'!$D$6),'Команда'!$B$6*(1+'Допущения'!$K$25)^2,0)+IF(AND(33&gt;='Команда'!$C$7,33&lt;='Команда'!$D$7),'Команда'!$B$7*(1+'Допущения'!$K$25)^2,0)+IF(AND(33&gt;='Команда'!$C$8,33&lt;='Команда'!$D$8),'Команда'!$B$8*(1+'Допущения'!$K$25)^2,0)+IF(AND(33&gt;='Команда'!$C$9,33&lt;='Команда'!$D$9),'Команда'!$B$9*(1+'Допущения'!$K$25)^2,0)+IF(AND(33&gt;='Команда'!$C$10,33&lt;='Команда'!$D$10),'Команда'!$B$10*(1+'Допущения'!$K$25)^2,0)+IF(AND(33&gt;='Команда'!$C$11,33&lt;='Команда'!$D$11),'Команда'!$B$11*(1+'Допущения'!$K$25)^2,0)+IF(AND(33&gt;='Команда'!$C$12,33&lt;='Команда'!$D$12),'Команда'!$B$12*(1+'Допущения'!$K$25)^2,0)+IF(AND(33&gt;='Команда'!$C$13,33&lt;='Команда'!$D$13),'Команда'!$B$13*(1+'Допущения'!$K$25)^2,0)+IF(AND(33&gt;='Команда'!$C$14,33&lt;='Команда'!$D$14),'Команда'!$B$14*(1+'Допущения'!$K$25)^2,0)+IF(AND(33&gt;='Команда'!$C$15,33&lt;='Команда'!$D$15),'Команда'!$B$15*(1+'Допущения'!$K$25)^2,0)+IF(AND(33&gt;='Команда'!$C$16,33&lt;='Команда'!$D$16),'Команда'!$B$16*(1+'Допущения'!$K$25)^2,0)</x:f>
        <x:v>3993000.0000000005</x:v>
      </x:c>
      <x:c r="AI20" s="38" t="n">
        <x:f>IF(AND(34&gt;='Команда'!$C$4,34&lt;='Команда'!$D$4),'Команда'!$B$4*(1+'Допущения'!$K$25)^2,0)+IF(AND(34&gt;='Команда'!$C$5,34&lt;='Команда'!$D$5),'Команда'!$B$5*(1+'Допущения'!$K$25)^2,0)+IF(AND(34&gt;='Команда'!$C$6,34&lt;='Команда'!$D$6),'Команда'!$B$6*(1+'Допущения'!$K$25)^2,0)+IF(AND(34&gt;='Команда'!$C$7,34&lt;='Команда'!$D$7),'Команда'!$B$7*(1+'Допущения'!$K$25)^2,0)+IF(AND(34&gt;='Команда'!$C$8,34&lt;='Команда'!$D$8),'Команда'!$B$8*(1+'Допущения'!$K$25)^2,0)+IF(AND(34&gt;='Команда'!$C$9,34&lt;='Команда'!$D$9),'Команда'!$B$9*(1+'Допущения'!$K$25)^2,0)+IF(AND(34&gt;='Команда'!$C$10,34&lt;='Команда'!$D$10),'Команда'!$B$10*(1+'Допущения'!$K$25)^2,0)+IF(AND(34&gt;='Команда'!$C$11,34&lt;='Команда'!$D$11),'Команда'!$B$11*(1+'Допущения'!$K$25)^2,0)+IF(AND(34&gt;='Команда'!$C$12,34&lt;='Команда'!$D$12),'Команда'!$B$12*(1+'Допущения'!$K$25)^2,0)+IF(AND(34&gt;='Команда'!$C$13,34&lt;='Команда'!$D$13),'Команда'!$B$13*(1+'Допущения'!$K$25)^2,0)+IF(AND(34&gt;='Команда'!$C$14,34&lt;='Команда'!$D$14),'Команда'!$B$14*(1+'Допущения'!$K$25)^2,0)+IF(AND(34&gt;='Команда'!$C$15,34&lt;='Команда'!$D$15),'Команда'!$B$15*(1+'Допущения'!$K$25)^2,0)+IF(AND(34&gt;='Команда'!$C$16,34&lt;='Команда'!$D$16),'Команда'!$B$16*(1+'Допущения'!$K$25)^2,0)</x:f>
        <x:v>3993000.0000000005</x:v>
      </x:c>
      <x:c r="AJ20" s="38" t="n">
        <x:f>IF(AND(35&gt;='Команда'!$C$4,35&lt;='Команда'!$D$4),'Команда'!$B$4*(1+'Допущения'!$K$25)^2,0)+IF(AND(35&gt;='Команда'!$C$5,35&lt;='Команда'!$D$5),'Команда'!$B$5*(1+'Допущения'!$K$25)^2,0)+IF(AND(35&gt;='Команда'!$C$6,35&lt;='Команда'!$D$6),'Команда'!$B$6*(1+'Допущения'!$K$25)^2,0)+IF(AND(35&gt;='Команда'!$C$7,35&lt;='Команда'!$D$7),'Команда'!$B$7*(1+'Допущения'!$K$25)^2,0)+IF(AND(35&gt;='Команда'!$C$8,35&lt;='Команда'!$D$8),'Команда'!$B$8*(1+'Допущения'!$K$25)^2,0)+IF(AND(35&gt;='Команда'!$C$9,35&lt;='Команда'!$D$9),'Команда'!$B$9*(1+'Допущения'!$K$25)^2,0)+IF(AND(35&gt;='Команда'!$C$10,35&lt;='Команда'!$D$10),'Команда'!$B$10*(1+'Допущения'!$K$25)^2,0)+IF(AND(35&gt;='Команда'!$C$11,35&lt;='Команда'!$D$11),'Команда'!$B$11*(1+'Допущения'!$K$25)^2,0)+IF(AND(35&gt;='Команда'!$C$12,35&lt;='Команда'!$D$12),'Команда'!$B$12*(1+'Допущения'!$K$25)^2,0)+IF(AND(35&gt;='Команда'!$C$13,35&lt;='Команда'!$D$13),'Команда'!$B$13*(1+'Допущения'!$K$25)^2,0)+IF(AND(35&gt;='Команда'!$C$14,35&lt;='Команда'!$D$14),'Команда'!$B$14*(1+'Допущения'!$K$25)^2,0)+IF(AND(35&gt;='Команда'!$C$15,35&lt;='Команда'!$D$15),'Команда'!$B$15*(1+'Допущения'!$K$25)^2,0)+IF(AND(35&gt;='Команда'!$C$16,35&lt;='Команда'!$D$16),'Команда'!$B$16*(1+'Допущения'!$K$25)^2,0)</x:f>
        <x:v>3993000.0000000005</x:v>
      </x:c>
      <x:c r="AK20" s="38" t="n">
        <x:f>IF(AND(36&gt;='Команда'!$C$4,36&lt;='Команда'!$D$4),'Команда'!$B$4*(1+'Допущения'!$K$25)^2,0)+IF(AND(36&gt;='Команда'!$C$5,36&lt;='Команда'!$D$5),'Команда'!$B$5*(1+'Допущения'!$K$25)^2,0)+IF(AND(36&gt;='Команда'!$C$6,36&lt;='Команда'!$D$6),'Команда'!$B$6*(1+'Допущения'!$K$25)^2,0)+IF(AND(36&gt;='Команда'!$C$7,36&lt;='Команда'!$D$7),'Команда'!$B$7*(1+'Допущения'!$K$25)^2,0)+IF(AND(36&gt;='Команда'!$C$8,36&lt;='Команда'!$D$8),'Команда'!$B$8*(1+'Допущения'!$K$25)^2,0)+IF(AND(36&gt;='Команда'!$C$9,36&lt;='Команда'!$D$9),'Команда'!$B$9*(1+'Допущения'!$K$25)^2,0)+IF(AND(36&gt;='Команда'!$C$10,36&lt;='Команда'!$D$10),'Команда'!$B$10*(1+'Допущения'!$K$25)^2,0)+IF(AND(36&gt;='Команда'!$C$11,36&lt;='Команда'!$D$11),'Команда'!$B$11*(1+'Допущения'!$K$25)^2,0)+IF(AND(36&gt;='Команда'!$C$12,36&lt;='Команда'!$D$12),'Команда'!$B$12*(1+'Допущения'!$K$25)^2,0)+IF(AND(36&gt;='Команда'!$C$13,36&lt;='Команда'!$D$13),'Команда'!$B$13*(1+'Допущения'!$K$25)^2,0)+IF(AND(36&gt;='Команда'!$C$14,36&lt;='Команда'!$D$14),'Команда'!$B$14*(1+'Допущения'!$K$25)^2,0)+IF(AND(36&gt;='Команда'!$C$15,36&lt;='Команда'!$D$15),'Команда'!$B$15*(1+'Допущения'!$K$25)^2,0)+IF(AND(36&gt;='Команда'!$C$16,36&lt;='Команда'!$D$16),'Команда'!$B$16*(1+'Допущения'!$K$25)^2,0)</x:f>
        <x:v>3993000.0000000005</x:v>
      </x:c>
    </x:row>
    <x:row r="21">
      <x:c r="A21" s="32" t="str">
        <x:v>Инфраструктура, ₽</x:v>
      </x:c>
      <x:c r="B21" s="38" t="n">
        <x:f>'Допущения'!$K$20+'Допущения'!$K$21*B10</x:f>
        <x:v>100000</x:v>
      </x:c>
      <x:c r="C21" s="38" t="n">
        <x:f>'Допущения'!$K$20+'Допущения'!$K$21*C10</x:f>
        <x:v>117600</x:v>
      </x:c>
      <x:c r="D21" s="38" t="n">
        <x:f>'Допущения'!$K$20+'Допущения'!$K$21*D10</x:f>
        <x:v>143824</x:v>
      </x:c>
      <x:c r="E21" s="38" t="n">
        <x:f>'Допущения'!$K$20+'Допущения'!$K$21*E10</x:f>
        <x:v>169785.76</x:v>
      </x:c>
      <x:c r="F21" s="38" t="n">
        <x:f>'Допущения'!$K$20+'Допущения'!$K$21*F10</x:f>
        <x:v>204287.90240000002</x:v>
      </x:c>
      <x:c r="G21" s="38" t="n">
        <x:f>'Допущения'!$K$20+'Допущения'!$K$21*G10</x:f>
        <x:v>238445.02337600003</x:v>
      </x:c>
      <x:c r="H21" s="38" t="n">
        <x:f>'Допущения'!$K$20+'Допущения'!$K$21*H10</x:f>
        <x:v>272260.57314224</x:v>
      </x:c>
      <x:c r="I21" s="38" t="n">
        <x:f>'Допущения'!$K$20+'Допущения'!$K$21*I10</x:f>
        <x:v>314537.9674108176</x:v>
      </x:c>
      <x:c r="J21" s="38" t="n">
        <x:f>'Допущения'!$K$20+'Допущения'!$K$21*J10</x:f>
        <x:v>356392.5877367094</x:v>
      </x:c>
      <x:c r="K21" s="38" t="n">
        <x:f>'Допущения'!$K$20+'Допущения'!$K$21*K10</x:f>
        <x:v>397828.66185934236</x:v>
      </x:c>
      <x:c r="L21" s="38" t="n">
        <x:f>'Допущения'!$K$20+'Допущения'!$K$21*L10</x:f>
        <x:v>438850.375240749</x:v>
      </x:c>
      <x:c r="M21" s="38" t="n">
        <x:f>'Допущения'!$K$20+'Допущения'!$K$21*M10</x:f>
        <x:v>479461.8714883415</x:v>
      </x:c>
      <x:c r="N21" s="38" t="n">
        <x:f>'Допущения'!$K$20+'Допущения'!$K$21*N10</x:f>
        <x:v>519667.2527734581</x:v>
      </x:c>
      <x:c r="O21" s="38" t="n">
        <x:f>'Допущения'!$K$20+'Допущения'!$K$21*O10</x:f>
        <x:v>568270.5802457235</x:v>
      </x:c>
      <x:c r="P21" s="38" t="n">
        <x:f>'Допущения'!$K$20+'Допущения'!$K$21*P10</x:f>
        <x:v>616387.8744432663</x:v>
      </x:c>
      <x:c r="Q21" s="38" t="n">
        <x:f>'Допущения'!$K$20+'Допущения'!$K$21*Q10</x:f>
        <x:v>664023.9956988336</x:v>
      </x:c>
      <x:c r="R21" s="38" t="n">
        <x:f>'Допущения'!$K$20+'Допущения'!$K$21*R10</x:f>
        <x:v>711183.7557418454</x:v>
      </x:c>
      <x:c r="S21" s="38" t="n">
        <x:f>'Допущения'!$K$20+'Допущения'!$K$21*S10</x:f>
        <x:v>757871.918184427</x:v>
      </x:c>
      <x:c r="T21" s="38" t="n">
        <x:f>'Допущения'!$K$20+'Допущения'!$K$21*T10</x:f>
        <x:v>804093.1990025827</x:v>
      </x:c>
      <x:c r="U21" s="38" t="n">
        <x:f>'Допущения'!$K$20+'Допущения'!$K$21*U10</x:f>
        <x:v>849852.2670125568</x:v>
      </x:c>
      <x:c r="V21" s="38" t="n">
        <x:f>'Допущения'!$K$20+'Допущения'!$K$21*V10</x:f>
        <x:v>895153.7443424313</x:v>
      </x:c>
      <x:c r="W21" s="38" t="n">
        <x:f>'Допущения'!$K$20+'Допущения'!$K$21*W10</x:f>
        <x:v>940002.206899007</x:v>
      </x:c>
      <x:c r="X21" s="38" t="n">
        <x:f>'Допущения'!$K$20+'Допущения'!$K$21*X10</x:f>
        <x:v>984402.184830017</x:v>
      </x:c>
      <x:c r="Y21" s="38" t="n">
        <x:f>'Допущения'!$K$20+'Допущения'!$K$21*Y10</x:f>
        <x:v>1028358.1629817168</x:v>
      </x:c>
      <x:c r="Z21" s="38" t="n">
        <x:f>'Допущения'!$K$20+'Допущения'!$K$21*Z10</x:f>
        <x:v>1071874.5813518995</x:v>
      </x:c>
      <x:c r="AA21" s="38" t="n">
        <x:f>'Допущения'!$K$20+'Допущения'!$K$21*AA10</x:f>
        <x:v>1150155.8355383805</x:v>
      </x:c>
      <x:c r="AB21" s="38" t="n">
        <x:f>'Допущения'!$K$20+'Допущения'!$K$21*AB10</x:f>
        <x:v>1227654.2771829967</x:v>
      </x:c>
      <x:c r="AC21" s="38" t="n">
        <x:f>'Допущения'!$K$20+'Допущения'!$K$21*AC10</x:f>
        <x:v>1304377.7344111667</x:v>
      </x:c>
      <x:c r="AD21" s="38" t="n">
        <x:f>'Допущения'!$K$20+'Допущения'!$K$21*AD10</x:f>
        <x:v>1380333.9570670552</x:v>
      </x:c>
      <x:c r="AE21" s="38" t="n">
        <x:f>'Допущения'!$K$20+'Допущения'!$K$21*AE10</x:f>
        <x:v>1455530.6174963845</x:v>
      </x:c>
      <x:c r="AF21" s="38" t="n">
        <x:f>'Допущения'!$K$20+'Допущения'!$K$21*AF10</x:f>
        <x:v>1529975.3113214208</x:v>
      </x:c>
      <x:c r="AG21" s="38" t="n">
        <x:f>'Допущения'!$K$20+'Допущения'!$K$21*AG10</x:f>
        <x:v>1603675.558208207</x:v>
      </x:c>
      <x:c r="AH21" s="38" t="n">
        <x:f>'Допущения'!$K$20+'Допущения'!$K$21*AH10</x:f>
        <x:v>1676638.8026261248</x:v>
      </x:c>
      <x:c r="AI21" s="38" t="n">
        <x:f>'Допущения'!$K$20+'Допущения'!$K$21*AI10</x:f>
        <x:v>1748872.4145998638</x:v>
      </x:c>
      <x:c r="AJ21" s="38" t="n">
        <x:f>'Допущения'!$K$20+'Допущения'!$K$21*AJ10</x:f>
        <x:v>1820383.6904538653</x:v>
      </x:c>
      <x:c r="AK21" s="38" t="n">
        <x:f>'Допущения'!$K$20+'Допущения'!$K$21*AK10</x:f>
        <x:v>1891179.8535493268</x:v>
      </x:c>
    </x:row>
    <x:row r="22">
      <x:c r="A22" s="32" t="str">
        <x:v>Коммерческие и прочие расходы, ₽</x:v>
      </x:c>
      <x:c r="B22" s="38" t="n">
        <x:f>'Допущения'!$K$22+'Допущения'!$K$24</x:f>
        <x:v>550000</x:v>
      </x:c>
      <x:c r="C22" s="38" t="n">
        <x:f>'Допущения'!$K$22+'Допущения'!$K$24</x:f>
        <x:v>550000</x:v>
      </x:c>
      <x:c r="D22" s="38" t="n">
        <x:f>'Допущения'!$K$22+'Допущения'!$K$24</x:f>
        <x:v>550000</x:v>
      </x:c>
      <x:c r="E22" s="38" t="n">
        <x:f>'Допущения'!$K$23+'Допущения'!$K$24</x:f>
        <x:v>800000</x:v>
      </x:c>
      <x:c r="F22" s="38" t="n">
        <x:f>'Допущения'!$K$23+'Допущения'!$K$24</x:f>
        <x:v>800000</x:v>
      </x:c>
      <x:c r="G22" s="38" t="n">
        <x:f>'Допущения'!$K$23+'Допущения'!$K$24</x:f>
        <x:v>800000</x:v>
      </x:c>
      <x:c r="H22" s="38" t="n">
        <x:f>'Допущения'!$K$23+'Допущения'!$K$24</x:f>
        <x:v>800000</x:v>
      </x:c>
      <x:c r="I22" s="38" t="n">
        <x:f>'Допущения'!$K$23+'Допущения'!$K$24</x:f>
        <x:v>800000</x:v>
      </x:c>
      <x:c r="J22" s="38" t="n">
        <x:f>'Допущения'!$K$23+'Допущения'!$K$24</x:f>
        <x:v>800000</x:v>
      </x:c>
      <x:c r="K22" s="38" t="n">
        <x:f>'Допущения'!$K$23+'Допущения'!$K$24</x:f>
        <x:v>800000</x:v>
      </x:c>
      <x:c r="L22" s="38" t="n">
        <x:f>'Допущения'!$K$23+'Допущения'!$K$24</x:f>
        <x:v>800000</x:v>
      </x:c>
      <x:c r="M22" s="38" t="n">
        <x:f>'Допущения'!$K$23+'Допущения'!$K$24</x:f>
        <x:v>800000</x:v>
      </x:c>
      <x:c r="N22" s="38" t="n">
        <x:f>'Допущения'!$K$23+'Допущения'!$K$24</x:f>
        <x:v>800000</x:v>
      </x:c>
      <x:c r="O22" s="38" t="n">
        <x:f>'Допущения'!$K$23+'Допущения'!$K$24</x:f>
        <x:v>800000</x:v>
      </x:c>
      <x:c r="P22" s="38" t="n">
        <x:f>'Допущения'!$K$23+'Допущения'!$K$24</x:f>
        <x:v>800000</x:v>
      </x:c>
      <x:c r="Q22" s="38" t="n">
        <x:f>'Допущения'!$K$23+'Допущения'!$K$24</x:f>
        <x:v>800000</x:v>
      </x:c>
      <x:c r="R22" s="38" t="n">
        <x:f>'Допущения'!$K$23+'Допущения'!$K$24</x:f>
        <x:v>800000</x:v>
      </x:c>
      <x:c r="S22" s="38" t="n">
        <x:f>'Допущения'!$K$23+'Допущения'!$K$24</x:f>
        <x:v>800000</x:v>
      </x:c>
      <x:c r="T22" s="38" t="n">
        <x:f>'Допущения'!$K$23+'Допущения'!$K$24</x:f>
        <x:v>800000</x:v>
      </x:c>
      <x:c r="U22" s="38" t="n">
        <x:f>'Допущения'!$K$23+'Допущения'!$K$24</x:f>
        <x:v>800000</x:v>
      </x:c>
      <x:c r="V22" s="38" t="n">
        <x:f>'Допущения'!$K$23+'Допущения'!$K$24</x:f>
        <x:v>800000</x:v>
      </x:c>
      <x:c r="W22" s="38" t="n">
        <x:f>'Допущения'!$K$23+'Допущения'!$K$24</x:f>
        <x:v>800000</x:v>
      </x:c>
      <x:c r="X22" s="38" t="n">
        <x:f>'Допущения'!$K$23+'Допущения'!$K$24</x:f>
        <x:v>800000</x:v>
      </x:c>
      <x:c r="Y22" s="38" t="n">
        <x:f>'Допущения'!$K$23+'Допущения'!$K$24</x:f>
        <x:v>800000</x:v>
      </x:c>
      <x:c r="Z22" s="38" t="n">
        <x:f>'Допущения'!$K$23+'Допущения'!$K$24</x:f>
        <x:v>800000</x:v>
      </x:c>
      <x:c r="AA22" s="38" t="n">
        <x:f>'Допущения'!$K$23+'Допущения'!$K$24</x:f>
        <x:v>800000</x:v>
      </x:c>
      <x:c r="AB22" s="38" t="n">
        <x:f>'Допущения'!$K$23+'Допущения'!$K$24</x:f>
        <x:v>800000</x:v>
      </x:c>
      <x:c r="AC22" s="38" t="n">
        <x:f>'Допущения'!$K$23+'Допущения'!$K$24</x:f>
        <x:v>800000</x:v>
      </x:c>
      <x:c r="AD22" s="38" t="n">
        <x:f>'Допущения'!$K$23+'Допущения'!$K$24</x:f>
        <x:v>800000</x:v>
      </x:c>
      <x:c r="AE22" s="38" t="n">
        <x:f>'Допущения'!$K$23+'Допущения'!$K$24</x:f>
        <x:v>800000</x:v>
      </x:c>
      <x:c r="AF22" s="38" t="n">
        <x:f>'Допущения'!$K$23+'Допущения'!$K$24</x:f>
        <x:v>800000</x:v>
      </x:c>
      <x:c r="AG22" s="38" t="n">
        <x:f>'Допущения'!$K$23+'Допущения'!$K$24</x:f>
        <x:v>800000</x:v>
      </x:c>
      <x:c r="AH22" s="38" t="n">
        <x:f>'Допущения'!$K$23+'Допущения'!$K$24</x:f>
        <x:v>800000</x:v>
      </x:c>
      <x:c r="AI22" s="38" t="n">
        <x:f>'Допущения'!$K$23+'Допущения'!$K$24</x:f>
        <x:v>800000</x:v>
      </x:c>
      <x:c r="AJ22" s="38" t="n">
        <x:f>'Допущения'!$K$23+'Допущения'!$K$24</x:f>
        <x:v>800000</x:v>
      </x:c>
      <x:c r="AK22" s="38" t="n">
        <x:f>'Допущения'!$K$23+'Допущения'!$K$24</x:f>
        <x:v>800000</x:v>
      </x:c>
    </x:row>
    <x:row r="23">
      <x:c r="A23" s="32" t="str">
        <x:v>Операционная прибыль до процентов, налогов и амортизации, ₽</x:v>
      </x:c>
      <x:c r="B23" s="38" t="n">
        <x:f>B18-B19-B20-B21-B22</x:f>
        <x:v>-1759999.9999999998</x:v>
      </x:c>
      <x:c r="C23" s="38" t="n">
        <x:f>C18-C19-C20-C21-C22</x:f>
        <x:v>-912600</x:v>
      </x:c>
      <x:c r="D23" s="38" t="n">
        <x:f>D18-D19-D20-D21-D22</x:f>
        <x:v>-611024</x:v>
      </x:c>
      <x:c r="E23" s="38" t="n">
        <x:f>E18-E19-E20-E21-E22</x:f>
        <x:v>-109863.75999999954</x:v>
      </x:c>
      <x:c r="F23" s="38" t="n">
        <x:f>F18-F19-F20-F21-F22</x:f>
        <x:v>286910.8776000012</x:v>
      </x:c>
      <x:c r="G23" s="38" t="n">
        <x:f>G18-G19-G20-G21-G22</x:f>
        <x:v>679717.7688240008</x:v>
      </x:c>
      <x:c r="H23" s="38" t="n">
        <x:f>H18-H19-H20-H21-H22</x:f>
        <x:v>1244236.5911357605</x:v>
      </x:c>
      <x:c r="I23" s="38" t="n">
        <x:f>I18-I19-I20-I21-I22</x:f>
        <x:v>1730426.6252244022</x:v>
      </x:c>
      <x:c r="J23" s="38" t="n">
        <x:f>J18-J19-J20-J21-J22</x:f>
        <x:v>2211754.758972158</x:v>
      </x:c>
      <x:c r="K23" s="38" t="n">
        <x:f>K18-K19-K20-K21-K22</x:f>
        <x:v>2499210.4113824363</x:v>
      </x:c>
      <x:c r="L23" s="38" t="n">
        <x:f>L18-L19-L20-L21-L22</x:f>
        <x:v>2970960.115268613</x:v>
      </x:c>
      <x:c r="M23" s="38" t="n">
        <x:f>M18-M19-M20-M21-M22</x:f>
        <x:v>3437992.322115926</x:v>
      </x:c>
      <x:c r="N23" s="38" t="n">
        <x:f>N18-N19-N20-N21-N22</x:f>
        <x:v>4472469.010094767</x:v>
      </x:c>
      <x:c r="O23" s="38" t="n">
        <x:f>O18-O19-O20-O21-O22</x:f>
        <x:v>5031407.276025819</x:v>
      </x:c>
      <x:c r="P23" s="38" t="n">
        <x:f>P18-P19-P20-P21-P22</x:f>
        <x:v>5584756.159297563</x:v>
      </x:c>
      <x:c r="Q23" s="38" t="n">
        <x:f>Q18-Q19-Q20-Q21-Q22</x:f>
        <x:v>6194467.905480586</x:v>
      </x:c>
      <x:c r="R23" s="38" t="n">
        <x:f>R18-R19-R20-R21-R22</x:f>
        <x:v>6736805.145975221</x:v>
      </x:c>
      <x:c r="S23" s="38" t="n">
        <x:f>S18-S19-S20-S21-S22</x:f>
        <x:v>7273719.014064911</x:v>
      </x:c>
      <x:c r="T23" s="38" t="n">
        <x:f>T18-T19-T20-T21-T22</x:f>
        <x:v>7862208.387078181</x:v>
      </x:c>
      <x:c r="U23" s="38" t="n">
        <x:f>U18-U19-U20-U21-U22</x:f>
        <x:v>8388437.669192882</x:v>
      </x:c>
      <x:c r="V23" s="38" t="n">
        <x:f>V18-V19-V20-V21-V22</x:f>
        <x:v>8909404.658486439</x:v>
      </x:c>
      <x:c r="W23" s="38" t="n">
        <x:f>W18-W19-W20-W21-W22</x:f>
        <x:v>9477551.05000318</x:v>
      </x:c>
      <x:c r="X23" s="38" t="n">
        <x:f>X18-X19-X20-X21-X22</x:f>
        <x:v>9988150.796209795</x:v>
      </x:c>
      <x:c r="Y23" s="38" t="n">
        <x:f>Y18-Y19-Y20-Y21-Y22</x:f>
        <x:v>10493644.544954345</x:v>
      </x:c>
      <x:c r="Z23" s="38" t="n">
        <x:f>Z18-Z19-Z20-Z21-Z22</x:f>
        <x:v>13609763.713899232</x:v>
      </x:c>
      <x:c r="AA23" s="38" t="n">
        <x:f>AA18-AA19-AA20-AA21-AA22</x:f>
        <x:v>14509998.137043767</x:v>
      </x:c>
      <x:c r="AB23" s="38" t="n">
        <x:f>AB18-AB19-AB20-AB21-AB22</x:f>
        <x:v>15401230.215956852</x:v>
      </x:c>
      <x:c r="AC23" s="38" t="n">
        <x:f>AC18-AC19-AC20-AC21-AC22</x:f>
        <x:v>16357453.49181262</x:v>
      </x:c>
      <x:c r="AD23" s="38" t="n">
        <x:f>AD18-AD19-AD20-AD21-AD22</x:f>
        <x:v>17230950.052355334</x:v>
      </x:c>
      <x:c r="AE23" s="38" t="n">
        <x:f>AE18-AE19-AE20-AE21-AE22</x:f>
        <x:v>18095711.64729262</x:v>
      </x:c>
      <x:c r="AF23" s="38" t="n">
        <x:f>AF18-AF19-AF20-AF21-AF22</x:f>
        <x:v>19019816.8625938</x:v>
      </x:c>
      <x:c r="AG23" s="38" t="n">
        <x:f>AG18-AG19-AG20-AG21-AG22</x:f>
        <x:v>19867369.701791838</x:v>
      </x:c>
      <x:c r="AH23" s="38" t="n">
        <x:f>AH18-AH19-AH20-AH21-AH22</x:f>
        <x:v>20706447.012597896</x:v>
      </x:c>
      <x:c r="AI23" s="38" t="n">
        <x:f>AI18-AI19-AI20-AI21-AI22</x:f>
        <x:v>21599685.4877041</x:v>
      </x:c>
      <x:c r="AJ23" s="38" t="n">
        <x:f>AJ18-AJ19-AJ20-AJ21-AJ22</x:f>
        <x:v>22422065.160025116</x:v>
      </x:c>
      <x:c r="AK23" s="38" t="n">
        <x:f>AK18-AK19-AK20-AK21-AK22</x:f>
        <x:v>23236221.03562292</x:v>
      </x:c>
    </x:row>
    <x:row r="24">
      <x:c r="A24" s="32" t="str">
        <x:v>Налог, ₽</x:v>
      </x:c>
      <x:c r="B24" s="38" t="n">
        <x:f>MAX(0,B23*'Допущения'!$K$16)</x:f>
        <x:v>0</x:v>
      </x:c>
      <x:c r="C24" s="38" t="n">
        <x:f>MAX(0,C23*'Допущения'!$K$16)</x:f>
        <x:v>0</x:v>
      </x:c>
      <x:c r="D24" s="38" t="n">
        <x:f>MAX(0,D23*'Допущения'!$K$16)</x:f>
        <x:v>0</x:v>
      </x:c>
      <x:c r="E24" s="38" t="n">
        <x:f>MAX(0,E23*'Допущения'!$K$16)</x:f>
        <x:v>0</x:v>
      </x:c>
      <x:c r="F24" s="38" t="n">
        <x:f>MAX(0,F23*'Допущения'!$K$16)</x:f>
        <x:v>0</x:v>
      </x:c>
      <x:c r="G24" s="38" t="n">
        <x:f>MAX(0,G23*'Допущения'!$K$16)</x:f>
        <x:v>0</x:v>
      </x:c>
      <x:c r="H24" s="38" t="n">
        <x:f>MAX(0,H23*'Допущения'!$K$16)</x:f>
        <x:v>0</x:v>
      </x:c>
      <x:c r="I24" s="38" t="n">
        <x:f>MAX(0,I23*'Допущения'!$K$16)</x:f>
        <x:v>0</x:v>
      </x:c>
      <x:c r="J24" s="38" t="n">
        <x:f>MAX(0,J23*'Допущения'!$K$16)</x:f>
        <x:v>0</x:v>
      </x:c>
      <x:c r="K24" s="38" t="n">
        <x:f>MAX(0,K23*'Допущения'!$K$16)</x:f>
        <x:v>0</x:v>
      </x:c>
      <x:c r="L24" s="38" t="n">
        <x:f>MAX(0,L23*'Допущения'!$K$16)</x:f>
        <x:v>0</x:v>
      </x:c>
      <x:c r="M24" s="38" t="n">
        <x:f>MAX(0,M23*'Допущения'!$K$16)</x:f>
        <x:v>0</x:v>
      </x:c>
      <x:c r="N24" s="38" t="n">
        <x:f>MAX(0,N23*'Допущения'!$K$16)</x:f>
        <x:v>0</x:v>
      </x:c>
      <x:c r="O24" s="38" t="n">
        <x:f>MAX(0,O23*'Допущения'!$K$16)</x:f>
        <x:v>0</x:v>
      </x:c>
      <x:c r="P24" s="38" t="n">
        <x:f>MAX(0,P23*'Допущения'!$K$16)</x:f>
        <x:v>0</x:v>
      </x:c>
      <x:c r="Q24" s="38" t="n">
        <x:f>MAX(0,Q23*'Допущения'!$K$16)</x:f>
        <x:v>0</x:v>
      </x:c>
      <x:c r="R24" s="38" t="n">
        <x:f>MAX(0,R23*'Допущения'!$K$16)</x:f>
        <x:v>0</x:v>
      </x:c>
      <x:c r="S24" s="38" t="n">
        <x:f>MAX(0,S23*'Допущения'!$K$16)</x:f>
        <x:v>0</x:v>
      </x:c>
      <x:c r="T24" s="38" t="n">
        <x:f>MAX(0,T23*'Допущения'!$K$16)</x:f>
        <x:v>0</x:v>
      </x:c>
      <x:c r="U24" s="38" t="n">
        <x:f>MAX(0,U23*'Допущения'!$K$16)</x:f>
        <x:v>0</x:v>
      </x:c>
      <x:c r="V24" s="38" t="n">
        <x:f>MAX(0,V23*'Допущения'!$K$16)</x:f>
        <x:v>0</x:v>
      </x:c>
      <x:c r="W24" s="38" t="n">
        <x:f>MAX(0,W23*'Допущения'!$K$16)</x:f>
        <x:v>0</x:v>
      </x:c>
      <x:c r="X24" s="38" t="n">
        <x:f>MAX(0,X23*'Допущения'!$K$16)</x:f>
        <x:v>0</x:v>
      </x:c>
      <x:c r="Y24" s="38" t="n">
        <x:f>MAX(0,Y23*'Допущения'!$K$16)</x:f>
        <x:v>0</x:v>
      </x:c>
      <x:c r="Z24" s="38" t="n">
        <x:f>MAX(0,Z23*'Допущения'!$K$16)</x:f>
        <x:v>0</x:v>
      </x:c>
      <x:c r="AA24" s="38" t="n">
        <x:f>MAX(0,AA23*'Допущения'!$K$16)</x:f>
        <x:v>0</x:v>
      </x:c>
      <x:c r="AB24" s="38" t="n">
        <x:f>MAX(0,AB23*'Допущения'!$K$16)</x:f>
        <x:v>0</x:v>
      </x:c>
      <x:c r="AC24" s="38" t="n">
        <x:f>MAX(0,AC23*'Допущения'!$K$16)</x:f>
        <x:v>0</x:v>
      </x:c>
      <x:c r="AD24" s="38" t="n">
        <x:f>MAX(0,AD23*'Допущения'!$K$16)</x:f>
        <x:v>0</x:v>
      </x:c>
      <x:c r="AE24" s="38" t="n">
        <x:f>MAX(0,AE23*'Допущения'!$K$16)</x:f>
        <x:v>0</x:v>
      </x:c>
      <x:c r="AF24" s="38" t="n">
        <x:f>MAX(0,AF23*'Допущения'!$K$16)</x:f>
        <x:v>0</x:v>
      </x:c>
      <x:c r="AG24" s="38" t="n">
        <x:f>MAX(0,AG23*'Допущения'!$K$16)</x:f>
        <x:v>0</x:v>
      </x:c>
      <x:c r="AH24" s="38" t="n">
        <x:f>MAX(0,AH23*'Допущения'!$K$16)</x:f>
        <x:v>0</x:v>
      </x:c>
      <x:c r="AI24" s="38" t="n">
        <x:f>MAX(0,AI23*'Допущения'!$K$16)</x:f>
        <x:v>0</x:v>
      </x:c>
      <x:c r="AJ24" s="38" t="n">
        <x:f>MAX(0,AJ23*'Допущения'!$K$16)</x:f>
        <x:v>0</x:v>
      </x:c>
      <x:c r="AK24" s="38" t="n">
        <x:f>MAX(0,AK23*'Допущения'!$K$16)</x:f>
        <x:v>0</x:v>
      </x:c>
    </x:row>
    <x:row r="25">
      <x:c r="A25" s="32" t="str">
        <x:v>Операционный денежный поток, ₽</x:v>
      </x:c>
      <x:c r="B25" s="38" t="n">
        <x:f>B23-B24</x:f>
        <x:v>-1759999.9999999998</x:v>
      </x:c>
      <x:c r="C25" s="38" t="n">
        <x:f>C23-C24</x:f>
        <x:v>-912600</x:v>
      </x:c>
      <x:c r="D25" s="38" t="n">
        <x:f>D23-D24</x:f>
        <x:v>-611024</x:v>
      </x:c>
      <x:c r="E25" s="38" t="n">
        <x:f>E23-E24</x:f>
        <x:v>-109863.75999999954</x:v>
      </x:c>
      <x:c r="F25" s="38" t="n">
        <x:f>F23-F24</x:f>
        <x:v>286910.8776000012</x:v>
      </x:c>
      <x:c r="G25" s="38" t="n">
        <x:f>G23-G24</x:f>
        <x:v>679717.7688240008</x:v>
      </x:c>
      <x:c r="H25" s="38" t="n">
        <x:f>H23-H24</x:f>
        <x:v>1244236.5911357605</x:v>
      </x:c>
      <x:c r="I25" s="38" t="n">
        <x:f>I23-I24</x:f>
        <x:v>1730426.6252244022</x:v>
      </x:c>
      <x:c r="J25" s="38" t="n">
        <x:f>J23-J24</x:f>
        <x:v>2211754.758972158</x:v>
      </x:c>
      <x:c r="K25" s="38" t="n">
        <x:f>K23-K24</x:f>
        <x:v>2499210.4113824363</x:v>
      </x:c>
      <x:c r="L25" s="38" t="n">
        <x:f>L23-L24</x:f>
        <x:v>2970960.115268613</x:v>
      </x:c>
      <x:c r="M25" s="38" t="n">
        <x:f>M23-M24</x:f>
        <x:v>3437992.322115926</x:v>
      </x:c>
      <x:c r="N25" s="38" t="n">
        <x:f>N23-N24</x:f>
        <x:v>4472469.010094767</x:v>
      </x:c>
      <x:c r="O25" s="38" t="n">
        <x:f>O23-O24</x:f>
        <x:v>5031407.276025819</x:v>
      </x:c>
      <x:c r="P25" s="38" t="n">
        <x:f>P23-P24</x:f>
        <x:v>5584756.159297563</x:v>
      </x:c>
      <x:c r="Q25" s="38" t="n">
        <x:f>Q23-Q24</x:f>
        <x:v>6194467.905480586</x:v>
      </x:c>
      <x:c r="R25" s="38" t="n">
        <x:f>R23-R24</x:f>
        <x:v>6736805.145975221</x:v>
      </x:c>
      <x:c r="S25" s="38" t="n">
        <x:f>S23-S24</x:f>
        <x:v>7273719.014064911</x:v>
      </x:c>
      <x:c r="T25" s="38" t="n">
        <x:f>T23-T24</x:f>
        <x:v>7862208.387078181</x:v>
      </x:c>
      <x:c r="U25" s="38" t="n">
        <x:f>U23-U24</x:f>
        <x:v>8388437.669192882</x:v>
      </x:c>
      <x:c r="V25" s="38" t="n">
        <x:f>V23-V24</x:f>
        <x:v>8909404.658486439</x:v>
      </x:c>
      <x:c r="W25" s="38" t="n">
        <x:f>W23-W24</x:f>
        <x:v>9477551.05000318</x:v>
      </x:c>
      <x:c r="X25" s="38" t="n">
        <x:f>X23-X24</x:f>
        <x:v>9988150.796209795</x:v>
      </x:c>
      <x:c r="Y25" s="38" t="n">
        <x:f>Y23-Y24</x:f>
        <x:v>10493644.544954345</x:v>
      </x:c>
      <x:c r="Z25" s="38" t="n">
        <x:f>Z23-Z24</x:f>
        <x:v>13609763.713899232</x:v>
      </x:c>
      <x:c r="AA25" s="38" t="n">
        <x:f>AA23-AA24</x:f>
        <x:v>14509998.137043767</x:v>
      </x:c>
      <x:c r="AB25" s="38" t="n">
        <x:f>AB23-AB24</x:f>
        <x:v>15401230.215956852</x:v>
      </x:c>
      <x:c r="AC25" s="38" t="n">
        <x:f>AC23-AC24</x:f>
        <x:v>16357453.49181262</x:v>
      </x:c>
      <x:c r="AD25" s="38" t="n">
        <x:f>AD23-AD24</x:f>
        <x:v>17230950.052355334</x:v>
      </x:c>
      <x:c r="AE25" s="38" t="n">
        <x:f>AE23-AE24</x:f>
        <x:v>18095711.64729262</x:v>
      </x:c>
      <x:c r="AF25" s="38" t="n">
        <x:f>AF23-AF24</x:f>
        <x:v>19019816.8625938</x:v>
      </x:c>
      <x:c r="AG25" s="38" t="n">
        <x:f>AG23-AG24</x:f>
        <x:v>19867369.701791838</x:v>
      </x:c>
      <x:c r="AH25" s="38" t="n">
        <x:f>AH23-AH24</x:f>
        <x:v>20706447.012597896</x:v>
      </x:c>
      <x:c r="AI25" s="38" t="n">
        <x:f>AI23-AI24</x:f>
        <x:v>21599685.4877041</x:v>
      </x:c>
      <x:c r="AJ25" s="38" t="n">
        <x:f>AJ23-AJ24</x:f>
        <x:v>22422065.160025116</x:v>
      </x:c>
      <x:c r="AK25" s="38" t="n">
        <x:f>AK23-AK24</x:f>
        <x:v>23236221.03562292</x:v>
      </x:c>
    </x:row>
    <x:row r="26">
      <x:c r="A26" s="32" t="str">
        <x:v>Инвестиции / финансирование, ₽</x:v>
      </x:c>
      <x:c r="B26" s="38" t="n">
        <x:f>'Допущения'!$K$15</x:f>
        <x:v>15000000</x:v>
      </x:c>
      <x:c r="C26" s="38" t="n">
        <x:f>0</x:f>
        <x:v>0</x:v>
      </x:c>
      <x:c r="D26" s="38" t="n">
        <x:f>0</x:f>
        <x:v>0</x:v>
      </x:c>
      <x:c r="E26" s="38" t="n">
        <x:f>0</x:f>
        <x:v>0</x:v>
      </x:c>
      <x:c r="F26" s="38" t="n">
        <x:f>0</x:f>
        <x:v>0</x:v>
      </x:c>
      <x:c r="G26" s="38" t="n">
        <x:f>0</x:f>
        <x:v>0</x:v>
      </x:c>
      <x:c r="H26" s="38" t="n">
        <x:f>0</x:f>
        <x:v>0</x:v>
      </x:c>
      <x:c r="I26" s="38" t="n">
        <x:f>0</x:f>
        <x:v>0</x:v>
      </x:c>
      <x:c r="J26" s="38" t="n">
        <x:f>0</x:f>
        <x:v>0</x:v>
      </x:c>
      <x:c r="K26" s="38" t="n">
        <x:f>0</x:f>
        <x:v>0</x:v>
      </x:c>
      <x:c r="L26" s="38" t="n">
        <x:f>0</x:f>
        <x:v>0</x:v>
      </x:c>
      <x:c r="M26" s="38" t="n">
        <x:f>0</x:f>
        <x:v>0</x:v>
      </x:c>
      <x:c r="N26" s="38" t="n">
        <x:f>0</x:f>
        <x:v>0</x:v>
      </x:c>
      <x:c r="O26" s="38" t="n">
        <x:f>0</x:f>
        <x:v>0</x:v>
      </x:c>
      <x:c r="P26" s="38" t="n">
        <x:f>0</x:f>
        <x:v>0</x:v>
      </x:c>
      <x:c r="Q26" s="38" t="n">
        <x:f>0</x:f>
        <x:v>0</x:v>
      </x:c>
      <x:c r="R26" s="38" t="n">
        <x:f>0</x:f>
        <x:v>0</x:v>
      </x:c>
      <x:c r="S26" s="38" t="n">
        <x:f>0</x:f>
        <x:v>0</x:v>
      </x:c>
      <x:c r="T26" s="38" t="n">
        <x:f>0</x:f>
        <x:v>0</x:v>
      </x:c>
      <x:c r="U26" s="38" t="n">
        <x:f>0</x:f>
        <x:v>0</x:v>
      </x:c>
      <x:c r="V26" s="38" t="n">
        <x:f>0</x:f>
        <x:v>0</x:v>
      </x:c>
      <x:c r="W26" s="38" t="n">
        <x:f>0</x:f>
        <x:v>0</x:v>
      </x:c>
      <x:c r="X26" s="38" t="n">
        <x:f>0</x:f>
        <x:v>0</x:v>
      </x:c>
      <x:c r="Y26" s="38" t="n">
        <x:f>0</x:f>
        <x:v>0</x:v>
      </x:c>
      <x:c r="Z26" s="38" t="n">
        <x:f>0</x:f>
        <x:v>0</x:v>
      </x:c>
      <x:c r="AA26" s="38" t="n">
        <x:f>0</x:f>
        <x:v>0</x:v>
      </x:c>
      <x:c r="AB26" s="38" t="n">
        <x:f>0</x:f>
        <x:v>0</x:v>
      </x:c>
      <x:c r="AC26" s="38" t="n">
        <x:f>0</x:f>
        <x:v>0</x:v>
      </x:c>
      <x:c r="AD26" s="38" t="n">
        <x:f>0</x:f>
        <x:v>0</x:v>
      </x:c>
      <x:c r="AE26" s="38" t="n">
        <x:f>0</x:f>
        <x:v>0</x:v>
      </x:c>
      <x:c r="AF26" s="38" t="n">
        <x:f>0</x:f>
        <x:v>0</x:v>
      </x:c>
      <x:c r="AG26" s="38" t="n">
        <x:f>0</x:f>
        <x:v>0</x:v>
      </x:c>
      <x:c r="AH26" s="38" t="n">
        <x:f>0</x:f>
        <x:v>0</x:v>
      </x:c>
      <x:c r="AI26" s="38" t="n">
        <x:f>0</x:f>
        <x:v>0</x:v>
      </x:c>
      <x:c r="AJ26" s="38" t="n">
        <x:f>0</x:f>
        <x:v>0</x:v>
      </x:c>
      <x:c r="AK26" s="38" t="n">
        <x:f>0</x:f>
        <x:v>0</x:v>
      </x:c>
    </x:row>
    <x:row r="27">
      <x:c r="A27" s="32" t="str">
        <x:v>Остаток денежных средств, ₽</x:v>
      </x:c>
      <x:c r="B27" s="38" t="n">
        <x:f>'Допущения'!$K$14+B25+B26</x:f>
        <x:v>13240000</x:v>
      </x:c>
      <x:c r="C27" s="38" t="n">
        <x:f>B27+C25+C26</x:f>
        <x:v>12327400</x:v>
      </x:c>
      <x:c r="D27" s="38" t="n">
        <x:f>C27+D25+D26</x:f>
        <x:v>11716376</x:v>
      </x:c>
      <x:c r="E27" s="38" t="n">
        <x:f>D27+E25+E26</x:f>
        <x:v>11606512.24</x:v>
      </x:c>
      <x:c r="F27" s="38" t="n">
        <x:f>E27+F25+F26</x:f>
        <x:v>11893423.117600001</x:v>
      </x:c>
      <x:c r="G27" s="38" t="n">
        <x:f>F27+G25+G26</x:f>
        <x:v>12573140.886424001</x:v>
      </x:c>
      <x:c r="H27" s="38" t="n">
        <x:f>G27+H25+H26</x:f>
        <x:v>13817377.477559762</x:v>
      </x:c>
      <x:c r="I27" s="38" t="n">
        <x:f>H27+I25+I26</x:f>
        <x:v>15547804.102784164</x:v>
      </x:c>
      <x:c r="J27" s="38" t="n">
        <x:f>I27+J25+J26</x:f>
        <x:v>17759558.86175632</x:v>
      </x:c>
      <x:c r="K27" s="38" t="n">
        <x:f>J27+K25+K26</x:f>
        <x:v>20258769.273138758</x:v>
      </x:c>
      <x:c r="L27" s="38" t="n">
        <x:f>K27+L25+L26</x:f>
        <x:v>23229729.388407372</x:v>
      </x:c>
      <x:c r="M27" s="38" t="n">
        <x:f>L27+M25+M26</x:f>
        <x:v>26667721.7105233</x:v>
      </x:c>
      <x:c r="N27" s="38" t="n">
        <x:f>M27+N25+N26</x:f>
        <x:v>31140190.72061807</x:v>
      </x:c>
      <x:c r="O27" s="38" t="n">
        <x:f>N27+O25+O26</x:f>
        <x:v>36171597.996643886</x:v>
      </x:c>
      <x:c r="P27" s="38" t="n">
        <x:f>O27+P25+P26</x:f>
        <x:v>41756354.15594145</x:v>
      </x:c>
      <x:c r="Q27" s="38" t="n">
        <x:f>P27+Q25+Q26</x:f>
        <x:v>47950822.061422035</x:v>
      </x:c>
      <x:c r="R27" s="38" t="n">
        <x:f>Q27+R25+R26</x:f>
        <x:v>54687627.20739725</x:v>
      </x:c>
      <x:c r="S27" s="38" t="n">
        <x:f>R27+S25+S26</x:f>
        <x:v>61961346.22146216</x:v>
      </x:c>
      <x:c r="T27" s="38" t="n">
        <x:f>S27+T25+T26</x:f>
        <x:v>69823554.60854034</x:v>
      </x:c>
      <x:c r="U27" s="38" t="n">
        <x:f>T27+U25+U26</x:f>
        <x:v>78211992.27773322</x:v>
      </x:c>
      <x:c r="V27" s="38" t="n">
        <x:f>U27+V25+V26</x:f>
        <x:v>87121396.93621966</x:v>
      </x:c>
      <x:c r="W27" s="38" t="n">
        <x:f>V27+W25+W26</x:f>
        <x:v>96598947.98622285</x:v>
      </x:c>
      <x:c r="X27" s="38" t="n">
        <x:f>W27+X25+X26</x:f>
        <x:v>106587098.78243265</x:v>
      </x:c>
      <x:c r="Y27" s="38" t="n">
        <x:f>X27+Y25+Y26</x:f>
        <x:v>117080743.32738699</x:v>
      </x:c>
      <x:c r="Z27" s="38" t="n">
        <x:f>Y27+Z25+Z26</x:f>
        <x:v>130690507.04128623</x:v>
      </x:c>
      <x:c r="AA27" s="38" t="n">
        <x:f>Z27+AA25+AA26</x:f>
        <x:v>145200505.17833</x:v>
      </x:c>
      <x:c r="AB27" s="38" t="n">
        <x:f>AA27+AB25+AB26</x:f>
        <x:v>160601735.39428687</x:v>
      </x:c>
      <x:c r="AC27" s="38" t="n">
        <x:f>AB27+AC25+AC26</x:f>
        <x:v>176959188.8860995</x:v>
      </x:c>
      <x:c r="AD27" s="38" t="n">
        <x:f>AC27+AD25+AD26</x:f>
        <x:v>194190138.9384548</x:v>
      </x:c>
      <x:c r="AE27" s="38" t="n">
        <x:f>AD27+AE25+AE26</x:f>
        <x:v>212285850.58574742</x:v>
      </x:c>
      <x:c r="AF27" s="38" t="n">
        <x:f>AE27+AF25+AF26</x:f>
        <x:v>231305667.44834122</x:v>
      </x:c>
      <x:c r="AG27" s="38" t="n">
        <x:f>AF27+AG25+AG26</x:f>
        <x:v>251173037.15013307</x:v>
      </x:c>
      <x:c r="AH27" s="38" t="n">
        <x:f>AG27+AH25+AH26</x:f>
        <x:v>271879484.162731</x:v>
      </x:c>
      <x:c r="AI27" s="38" t="n">
        <x:f>AH27+AI25+AI26</x:f>
        <x:v>293479169.6504351</x:v>
      </x:c>
      <x:c r="AJ27" s="38" t="n">
        <x:f>AI27+AJ25+AJ26</x:f>
        <x:v>315901234.8104602</x:v>
      </x:c>
      <x:c r="AK27" s="38" t="n">
        <x:f>AJ27+AK25+AK26</x:f>
        <x:v>339137455.8460831</x:v>
      </x:c>
    </x:row>
  </x:sheetData>
  <x:mergeCells>
    <x:mergeCell ref="A1:AL1"/>
  </x:mergeCells>
  <x:conditionalFormatting sqref="B27:AK27">
    <x:cfRule type="cellIs" dxfId="0" priority="1" operator="lessThan">
      <x:formula>0</x:formula>
    </x:cfRule>
  </x:conditionalFormatting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18" hidden="0" customWidth="1"/>
    <x:col min="3" max="3" width="18" hidden="0" customWidth="1"/>
    <x:col min="4" max="4" width="18" hidden="0" customWidth="1"/>
    <x:col min="5" max="5" width="35" hidden="0" customWidth="1"/>
  </x:cols>
  <x:sheetData>
    <x:row r="1" ht="26" customHeight="1">
      <x:c r="A1" s="46" t="str">
        <x:v>Сводка по годам и ключевые метрики</x:v>
      </x:c>
      <x:c r="B1" s="46"/>
      <x:c r="C1" s="46"/>
      <x:c r="D1" s="46"/>
      <x:c r="E1" s="46"/>
      <x:c r="F1" s="46"/>
      <x:c r="G1" s="46"/>
      <x:c r="H1" s="46"/>
      <x:c r="I1" s="41"/>
      <x:c r="J1" s="41"/>
      <x:c r="K1" s="41"/>
      <x:c r="L1" s="41"/>
      <x:c r="M1" s="41"/>
      <x:c r="N1" s="41"/>
      <x:c r="O1" s="41"/>
      <x:c r="P1" s="41"/>
      <x:c r="Q1" s="41"/>
      <x:c r="R1" s="41"/>
      <x:c r="S1" s="41"/>
      <x:c r="T1" s="41"/>
      <x:c r="U1" s="41"/>
      <x:c r="V1" s="41"/>
      <x:c r="W1" s="41"/>
      <x:c r="X1" s="41"/>
      <x:c r="Y1" s="41"/>
      <x:c r="Z1" s="41"/>
      <x:c r="AA1" s="41"/>
      <x:c r="AB1" s="41"/>
      <x:c r="AC1" s="41"/>
      <x:c r="AD1" s="41"/>
      <x:c r="AE1" s="41"/>
      <x:c r="AF1" s="41"/>
      <x:c r="AG1" s="41"/>
      <x:c r="AH1" s="41"/>
      <x:c r="AI1" s="41"/>
      <x:c r="AJ1" s="41"/>
      <x:c r="AK1" s="41"/>
    </x:row>
    <x:row r="3" ht="28" customHeight="1">
      <x:c r="A3" s="12" t="str">
        <x:v>Показатель</x:v>
      </x:c>
      <x:c r="B3" s="12" t="str">
        <x:v>Год 1</x:v>
      </x:c>
      <x:c r="C3" s="12" t="str">
        <x:v>Год 2</x:v>
      </x:c>
      <x:c r="D3" s="12" t="str">
        <x:v>Год 3</x:v>
      </x:c>
      <x:c r="E3" s="12" t="str">
        <x:v>Комментарий</x:v>
      </x:c>
    </x:row>
    <x:row r="4">
      <x:c r="A4" t="str">
        <x:v>Аудиты</x:v>
      </x:c>
      <x:c r="B4" t="n">
        <x:f>SUM('Модель 36м'!B4:M4)</x:f>
        <x:v>50</x:v>
      </x:c>
      <x:c r="C4" t="n">
        <x:f>SUM('Модель 36м'!N4:Y4)</x:f>
        <x:v>72</x:v>
      </x:c>
      <x:c r="D4" t="n">
        <x:f>SUM('Модель 36м'!Z4:AK4)</x:f>
        <x:v>120</x:v>
      </x:c>
      <x:c r="E4" t="str">
        <x:v>Драйвер воронки</x:v>
      </x:c>
    </x:row>
    <x:row r="5">
      <x:c r="A5" t="str">
        <x:v>Оптимизации</x:v>
      </x:c>
      <x:c r="B5" t="n">
        <x:f>SUM('Модель 36м'!B6:M6)</x:f>
        <x:v>27.5</x:v>
      </x:c>
      <x:c r="C5" t="n">
        <x:f>SUM('Модель 36м'!N6:Y6)</x:f>
        <x:v>39.599999999999994</x:v>
      </x:c>
      <x:c r="D5" t="n">
        <x:f>SUM('Модель 36м'!Z6:AK6)</x:f>
        <x:v>66</x:v>
      </x:c>
      <x:c r="E5" t="str">
        <x:v>Платный проект</x:v>
      </x:c>
    </x:row>
    <x:row r="6">
      <x:c r="A6" t="str">
        <x:v>Клиенты Ядра QORSYS на конец года</x:v>
      </x:c>
      <x:c r="B6" t="n">
        <x:f>'Модель 36м'!M10</x:f>
        <x:v>18.973093574417074</x:v>
      </x:c>
      <x:c r="C6" t="n">
        <x:f>'Модель 36м'!Y10</x:f>
        <x:v>46.41790814908584</x:v>
      </x:c>
      <x:c r="D6" t="n">
        <x:f>'Модель 36м'!AK10</x:f>
        <x:v>89.55899267746634</x:v>
      </x:c>
      <x:c r="E6" t="str">
        <x:v>Активная клиентская база</x:v>
      </x:c>
    </x:row>
    <x:row r="7">
      <x:c r="A7" t="str">
        <x:v>Годовая повторяющаяся выручка на конец года, ₽</x:v>
      </x:c>
      <x:c r="B7" s="38" t="n">
        <x:f>'Модель 36м'!M13</x:f>
        <x:v>56919280.72325122</x:v>
      </x:c>
      <x:c r="C7" s="38" t="n">
        <x:f>'Модель 36м'!Y13</x:f>
        <x:v>139253724.44725752</x:v>
      </x:c>
      <x:c r="D7" s="38" t="n">
        <x:f>'Модель 36м'!AK13</x:f>
        <x:v>268676978.032399</x:v>
      </x:c>
      <x:c r="E7" t="str">
        <x:v>Только регулярная лицензия</x:v>
      </x:c>
    </x:row>
    <x:row r="8">
      <x:c r="A8" t="str">
        <x:v>Лицензионная выручка Ядра QORSYS, ₽</x:v>
      </x:c>
      <x:c r="B8" s="38" t="n">
        <x:f>SUM('Модель 36м'!B12:M12)</x:f>
        <x:v>25415934.0331775</x:v>
      </x:c>
      <x:c r="C8" s="38" t="n">
        <x:f>SUM('Модель 36м'!N12:Y12)</x:f>
        <x:v>101740839.27694832</x:v>
      </x:c>
      <x:c r="D8" s="38" t="n">
        <x:f>SUM('Модель 36м'!Z12:AK12)</x:f>
        <x:v>208258157.92258364</x:v>
      </x:c>
      <x:c r="E8" t="str">
        <x:v>Повторяющаяся выручка</x:v>
      </x:c>
    </x:row>
    <x:row r="9">
      <x:c r="A9" t="str">
        <x:v>Выручка оптимизаций, ₽</x:v>
      </x:c>
      <x:c r="B9" s="38" t="n">
        <x:f>SUM('Модель 36м'!B15:M15)</x:f>
        <x:v>41250000</x:v>
      </x:c>
      <x:c r="C9" s="38" t="n">
        <x:f>SUM('Модель 36м'!N15:Y15)</x:f>
        <x:v>59400000</x:v>
      </x:c>
      <x:c r="D9" s="38" t="n">
        <x:f>SUM('Модель 36м'!Z15:AK15)</x:f>
        <x:v>99000000</x:v>
      </x:c>
      <x:c r="E9" t="str">
        <x:v>Разовые проекты</x:v>
      </x:c>
    </x:row>
    <x:row r="10">
      <x:c r="A10" t="str">
        <x:v>ИТОГО ВЫРУЧКА, ₽</x:v>
      </x:c>
      <x:c r="B10" s="38" t="n">
        <x:f>SUM('Прибыли и убытки'!B9:M9)</x:f>
        <x:v>66665934.03317751</x:v>
      </x:c>
      <x:c r="C10" s="38" t="n">
        <x:f>SUM('Прибыли и убытки'!N9:Y9)</x:f>
        <x:v>161140839.27694833</x:v>
      </x:c>
      <x:c r="D10" s="38" t="n">
        <x:f>SUM('Прибыли и убытки'!Z9:AK9)</x:f>
        <x:v>307258157.9225837</x:v>
      </x:c>
      <x:c r="E10" t="str">
        <x:v>Без модулей и success fee по умолчанию</x:v>
      </x:c>
    </x:row>
    <x:row r="11">
      <x:c r="A11" t="str">
        <x:v>Операционная прибыль до процентов, налогов и амортизации, ₽</x:v>
      </x:c>
      <x:c r="B11" s="38" t="n">
        <x:f>SUM('Прибыли и убытки'!B26:M26)</x:f>
        <x:v>-10555497.69279445</x:v>
      </x:c>
      <x:c r="C11" s="38" t="n">
        <x:f>SUM('Прибыли и убытки'!N26:Y26)</x:f>
        <x:v>50370498.68916887</x:v>
      </x:c>
      <x:c r="D11" s="38" t="n">
        <x:f>SUM('Прибыли и убытки'!Z26:AK26)</x:f>
        <x:v>157772457.72643772</x:v>
      </x:c>
      <x:c r="E11" t="str">
        <x:v>До налогового режима</x:v>
      </x:c>
    </x:row>
    <x:row r="12">
      <x:c r="A12" t="str">
        <x:v>Остаток денежных средств, ₽</x:v>
      </x:c>
      <x:c r="B12" s="38" t="n">
        <x:f>'Денежный поток'!M11</x:f>
        <x:v>2444524.286210225</x:v>
      </x:c>
      <x:c r="C12" s="38" t="n">
        <x:f>'Денежный поток'!Y11</x:f>
        <x:v>47980797.79707064</x:v>
      </x:c>
      <x:c r="D12" s="38" t="n">
        <x:f>'Денежный поток'!AK11</x:f>
        <x:v>196475080.95682967</x:v>
      </x:c>
      <x:c r="E12" t="str">
        <x:v>На конец года</x:v>
      </x:c>
    </x:row>
    <x:row r="15" ht="26" customHeight="1">
      <x:c r="A15" s="69" t="str">
        <x:v>P&amp;L и денежные показатели</x:v>
      </x:c>
      <x:c r="B15" s="69"/>
      <x:c r="C15" s="69"/>
      <x:c r="D15" s="69"/>
      <x:c r="E15" s="69"/>
    </x:row>
    <x:row r="16" ht="26" customHeight="1">
      <x:c r="A16" s="69" t="str">
        <x:v>Показатель</x:v>
      </x:c>
      <x:c r="B16" s="69" t="str">
        <x:v>Год 1</x:v>
      </x:c>
      <x:c r="C16" s="69" t="str">
        <x:v>Год 2</x:v>
      </x:c>
      <x:c r="D16" s="69" t="str">
        <x:v>Год 3</x:v>
      </x:c>
      <x:c r="E16" s="69" t="str">
        <x:v>Комментарий</x:v>
      </x:c>
    </x:row>
    <x:row r="17">
      <x:c r="A17" t="str">
        <x:v>Выручка, ₽</x:v>
      </x:c>
      <x:c r="B17" s="55" t="n">
        <x:f>SUM('Прибыли и убытки'!B9:M9)</x:f>
        <x:v>66665934.03317751</x:v>
      </x:c>
      <x:c r="C17" s="55" t="n">
        <x:f>SUM('Прибыли и убытки'!N9:Y9)</x:f>
        <x:v>161140839.27694833</x:v>
      </x:c>
      <x:c r="D17" s="55" t="n">
        <x:f>SUM('Прибыли и убытки'!Z9:AK9)</x:f>
        <x:v>307258157.9225837</x:v>
      </x:c>
      <x:c r="E17" t="str">
        <x:v>Из P&amp;L</x:v>
      </x:c>
    </x:row>
    <x:row r="18">
      <x:c r="A18" t="str">
        <x:v>Валовая прибыль, ₽</x:v>
      </x:c>
      <x:c r="B18" s="55" t="n">
        <x:f>SUM('Прибыли и убытки'!B17:M17)</x:f>
        <x:v>44651128.30720554</x:v>
      </x:c>
      <x:c r="C18" s="55" t="n">
        <x:f>SUM('Прибыли и убытки'!N17:Y17)</x:f>
        <x:v>120738937.68916886</x:v>
      </x:c>
      <x:c r="D18" s="55" t="n">
        <x:f>SUM('Прибыли и убытки'!Z17:AK17)</x:f>
        <x:v>236846896.72643775</x:v>
      </x:c>
      <x:c r="E18" t="str">
        <x:v>После прямой себестоимости</x:v>
      </x:c>
    </x:row>
    <x:row r="19">
      <x:c r="A19" t="str">
        <x:v>Валовая маржа</x:v>
      </x:c>
      <x:c r="B19" s="70" t="n">
        <x:f>IFERROR(B18/B17,0)</x:f>
        <x:v>0.6697742850941547</x:v>
      </x:c>
      <x:c r="C19" s="70" t="n">
        <x:f>IFERROR(C18/C17,0)</x:f>
        <x:v>0.7492758398859904</x:v>
      </x:c>
      <x:c r="D19" s="70" t="n">
        <x:f>IFERROR(D18/D17,0)</x:f>
        <x:v>0.7708400594724432</x:v>
      </x:c>
      <x:c r="E19" t="str">
        <x:v>Валовая прибыль / выручка</x:v>
      </x:c>
    </x:row>
    <x:row r="20">
      <x:c r="A20" t="str">
        <x:v>Операционная прибыль, ₽</x:v>
      </x:c>
      <x:c r="B20" s="55" t="n">
        <x:f>SUM('Прибыли и убытки'!B26:M26)</x:f>
        <x:v>-10555497.69279445</x:v>
      </x:c>
      <x:c r="C20" s="55" t="n">
        <x:f>SUM('Прибыли и убытки'!N26:Y26)</x:f>
        <x:v>50370498.68916887</x:v>
      </x:c>
      <x:c r="D20" s="55" t="n">
        <x:f>SUM('Прибыли и убытки'!Z26:AK26)</x:f>
        <x:v>157772457.72643772</x:v>
      </x:c>
      <x:c r="E20" t="str">
        <x:v>До налогов</x:v>
      </x:c>
    </x:row>
    <x:row r="21">
      <x:c r="A21" t="str">
        <x:v>Операционная маржа</x:v>
      </x:c>
      <x:c r="B21" s="70" t="n">
        <x:f>IFERROR(B20/B17,0)</x:f>
        <x:v>-0.15833420540603713</x:v>
      </x:c>
      <x:c r="C21" s="70" t="n">
        <x:f>IFERROR(C20/C17,0)</x:f>
        <x:v>0.3125867962161875</x:v>
      </x:c>
      <x:c r="D21" s="70" t="n">
        <x:f>IFERROR(D20/D17,0)</x:f>
        <x:v>0.5134850081545754</x:v>
      </x:c>
      <x:c r="E21" t="str">
        <x:v>EBITDA / выручка</x:v>
      </x:c>
    </x:row>
    <x:row r="22">
      <x:c r="A22" t="str">
        <x:v>Денежные средства на конец года, ₽</x:v>
      </x:c>
      <x:c r="B22" s="55" t="n">
        <x:f>'Денежный поток'!M11</x:f>
        <x:v>2444524.286210225</x:v>
      </x:c>
      <x:c r="C22" s="55" t="n">
        <x:f>'Денежный поток'!Y11</x:f>
        <x:v>47980797.79707064</x:v>
      </x:c>
      <x:c r="D22" s="55" t="n">
        <x:f>'Денежный поток'!AK11</x:f>
        <x:v>196475080.95682967</x:v>
      </x:c>
      <x:c r="E22" t="str">
        <x:v>После финансирования</x:v>
      </x:c>
    </x:row>
  </x:sheetData>
  <x:mergeCells>
    <x:mergeCell ref="A1:H1"/>
    <x:mergeCell ref="A15:E15"/>
  </x:mergeCells>
  <x:pageMargins left="0.7" right="0.7" top="0.75" bottom="0.75" header="0.3" footer="0.3"/>
  <x:drawing xmlns:r="http://schemas.openxmlformats.org/officeDocument/2006/relationships" r:id="R8509153ad6e942e8"/>
</x:worksheet>
</file>

<file path=xl/worksheets/sheet7.xml><?xml version="1.0" encoding="utf-8"?>
<x:worksheet xmlns:x="http://schemas.openxmlformats.org/spreadsheetml/2006/main">
  <x:sheetFormatPr defaultRowHeight="15"/>
  <x:cols>
    <x:col min="1" max="1" width="38" hidden="0" customWidth="1"/>
    <x:col min="2" max="2" width="24" hidden="0" customWidth="1"/>
    <x:col min="3" max="3" width="24" hidden="0" customWidth="1"/>
    <x:col min="4" max="4" width="48" hidden="0" customWidth="1"/>
  </x:cols>
  <x:sheetData>
    <x:row r="1" ht="26" customHeight="1">
      <x:c r="A1" s="46" t="str">
        <x:v>Контроль качества модели</x:v>
      </x:c>
      <x:c r="B1" s="46"/>
      <x:c r="C1" s="46"/>
      <x:c r="D1" s="46"/>
      <x:c r="E1" s="41"/>
      <x:c r="F1" s="41"/>
      <x:c r="G1" s="41"/>
      <x:c r="H1" s="41"/>
      <x:c r="I1" s="41"/>
      <x:c r="J1" s="41"/>
      <x:c r="K1" s="41"/>
      <x:c r="L1" s="41"/>
      <x:c r="M1" s="41"/>
      <x:c r="N1" s="41"/>
      <x:c r="O1" s="41"/>
      <x:c r="P1" s="41"/>
      <x:c r="Q1" s="41"/>
      <x:c r="R1" s="41"/>
      <x:c r="S1" s="41"/>
      <x:c r="T1" s="41"/>
      <x:c r="U1" s="41"/>
      <x:c r="V1" s="41"/>
      <x:c r="W1" s="41"/>
      <x:c r="X1" s="41"/>
      <x:c r="Y1" s="41"/>
      <x:c r="Z1" s="41"/>
      <x:c r="AA1" s="41"/>
      <x:c r="AB1" s="41"/>
      <x:c r="AC1" s="41"/>
      <x:c r="AD1" s="41"/>
      <x:c r="AE1" s="41"/>
      <x:c r="AF1" s="41"/>
      <x:c r="AG1" s="41"/>
      <x:c r="AH1" s="41"/>
      <x:c r="AI1" s="41"/>
      <x:c r="AJ1" s="41"/>
      <x:c r="AK1" s="41"/>
    </x:row>
    <x:row r="3" ht="28" customHeight="1">
      <x:c r="A3" s="12" t="str">
        <x:v>Проверка</x:v>
      </x:c>
      <x:c r="B3" s="12" t="str">
        <x:v>Статус</x:v>
      </x:c>
      <x:c r="C3" s="12" t="str">
        <x:v>Значение</x:v>
      </x:c>
      <x:c r="D3" s="12" t="str">
        <x:v>Комментарий</x:v>
      </x:c>
    </x:row>
    <x:row r="4">
      <x:c r="A4" t="str">
        <x:v>Налоговый сценарий выбран</x:v>
      </x:c>
      <x:c r="B4" t="str">
        <x:v>OK</x:v>
      </x:c>
      <x:c r="C4" t="str">
        <x:f>'Налоги и господдержка'!B82</x:f>
        <x:v>УСН 6% → СПб IT 1% после gate</x:v>
      </x:c>
      <x:c r="D4" t="str">
        <x:v>Сценарий берется из листа «Налоги и господдержка»; льготы включаются только после effective-date.</x:v>
      </x:c>
    </x:row>
    <x:row r="5">
      <x:c r="A5" t="str">
        <x:v>Success fee исключён из базы</x:v>
      </x:c>
      <x:c r="B5" t="str">
        <x:f>IF('Допущения'!K12=0,"OK","ПРОВЕРИТЬ")</x:f>
        <x:v>OK</x:v>
      </x:c>
      <x:c r="C5" t="n">
        <x:f>'Допущения'!K12</x:f>
        <x:v>0</x:v>
      </x:c>
      <x:c r="D5" t="str">
        <x:v>Базовая модель не зависит от success fee</x:v>
      </x:c>
    </x:row>
    <x:row r="6">
      <x:c r="A6" t="str">
        <x:v>Модули исключены из базы</x:v>
      </x:c>
      <x:c r="B6" t="str">
        <x:f>IF('Допущения'!K13=0,"OK","ПРОВЕРИТЬ")</x:f>
        <x:v>OK</x:v>
      </x:c>
      <x:c r="C6" t="n">
        <x:f>'Допущения'!K13</x:f>
        <x:v>0</x:v>
      </x:c>
      <x:c r="D6" t="str">
        <x:v>Не завышаем прогноз</x:v>
      </x:c>
    </x:row>
    <x:row r="7">
      <x:c r="A7" t="str">
        <x:v>Денежные средства не уходят ниже нуля за 36м</x:v>
      </x:c>
      <x:c r="B7" t="str">
        <x:f>IF(MIN('Денежный поток'!B11:AK11)&gt;=0,"OK","FAIL")</x:f>
        <x:v>OK</x:v>
      </x:c>
      <x:c r="C7" t="n">
        <x:f>MIN('Денежный поток'!B11:AK11)</x:f>
        <x:v>1631167.4553679358</x:v>
      </x:c>
      <x:c r="D7" t="str">
        <x:v>Динамический минимум по актуальному Cash Flow</x:v>
      </x:c>
    </x:row>
    <x:row r="8">
      <x:c r="A8" t="str">
        <x:v>Целевой сценарий, клиенты Ядра QORSYS на 6 месяц</x:v>
      </x:c>
      <x:c r="B8" t="str">
        <x:f>IF(AND('Допущения'!O2=3,'Модель 36м'!G10&gt;=9,'Модель 36м'!G10&lt;=12),"OK","INFO")</x:f>
        <x:v>INFO</x:v>
      </x:c>
      <x:c r="C8" t="n">
        <x:f>'Модель 36м'!G10</x:f>
        <x:v>6.922251168800001</x:v>
      </x:c>
      <x:c r="D8" t="str">
        <x:v>Проверка логики воронки</x:v>
      </x:c>
    </x:row>
    <x:row r="10">
      <x:c r="A10" s="54" t="str">
        <x:v>Калибровка сценариев M6</x:v>
      </x:c>
      <x:c r="B10" s="54"/>
      <x:c r="C10" s="54"/>
      <x:c r="D10" s="54" t="str">
        <x:v>Целевые диапазоны</x:v>
      </x:c>
    </x:row>
    <x:row r="11">
      <x:c r="A11" t="str">
        <x:v>Консервативный сценарий, клиенты на 6 месяц</x:v>
      </x:c>
      <x:c r="B11" t="str">
        <x:f>IF(AND('Обзор'!I5&gt;=3,'Обзор'!I5&lt;=5),"OK","ПРОВЕРИТЬ")</x:f>
        <x:v>ПРОВЕРИТЬ</x:v>
      </x:c>
      <x:c r="C11" t="n">
        <x:f>'Обзор'!I5</x:f>
        <x:v>0</x:v>
      </x:c>
      <x:c r="D11" t="str">
        <x:v>3–5 клиентов</x:v>
      </x:c>
    </x:row>
    <x:row r="12">
      <x:c r="A12" t="str">
        <x:v>Базовый сценарий, клиенты на 6 месяц</x:v>
      </x:c>
      <x:c r="B12" t="str">
        <x:f>IF(AND('Обзор'!I6&gt;=6,'Обзор'!I6&lt;=8),"OK","ПРОВЕРИТЬ")</x:f>
        <x:v>ПРОВЕРИТЬ</x:v>
      </x:c>
      <x:c r="C12" t="n">
        <x:f>'Обзор'!I6</x:f>
        <x:v>0</x:v>
      </x:c>
      <x:c r="D12" t="str">
        <x:v>6–8 клиентов</x:v>
      </x:c>
    </x:row>
    <x:row r="13">
      <x:c r="A13" t="str">
        <x:v>Целевой сценарий, клиенты на 6 месяц</x:v>
      </x:c>
      <x:c r="B13" t="str">
        <x:f>IF(AND('Обзор'!I7&gt;=9,'Обзор'!I7&lt;=11),"OK","ПРОВЕРИТЬ")</x:f>
        <x:v>ПРОВЕРИТЬ</x:v>
      </x:c>
      <x:c r="C13" t="n">
        <x:f>'Обзор'!I7</x:f>
        <x:v>0</x:v>
      </x:c>
      <x:c r="D13" t="str">
        <x:v>9–11 клиентов</x:v>
      </x:c>
    </x:row>
    <x:row r="15" ht="26" customHeight="1">
      <x:c r="A15" s="69" t="str">
        <x:v>Проверки прибыли и денежных средств</x:v>
      </x:c>
      <x:c r="B15" s="69"/>
      <x:c r="C15" s="69"/>
      <x:c r="D15" s="69" t="str"/>
    </x:row>
    <x:row r="16">
      <x:c r="A16" t="str">
        <x:v>Effective-date gates заданы</x:v>
      </x:c>
      <x:c r="B16" t="str">
        <x:f>IF(AND('Налоги и господдержка'!B108&gt;=0,'Налоги и господдержка'!B109&gt;=0,'Налоги и господдержка'!B110&gt;=0,'Налоги и господдержка'!B112&gt;=0,'Налоги и господдержка'!B116&gt;=0),"OK","ПРОВЕРИТЬ")</x:f>
        <x:v>OK</x:v>
      </x:c>
      <x:c r="C16" t="n">
        <x:f>'Налоги и господдержка'!B108</x:f>
        <x:v>0</x:v>
      </x:c>
      <x:c r="D16" t="str">
        <x:v>0 означает, что конкретная льгота/статус еще не активированы; это допустимый консервативный state.</x:v>
      </x:c>
    </x:row>
    <x:row r="17">
      <x:c r="A17" t="str">
        <x:v>Валовая маржа Год 1</x:v>
      </x:c>
      <x:c r="B17" t="str">
        <x:f>IF('Сводка'!B19&gt;0.5,"OK","ПРОВЕРИТЬ")</x:f>
        <x:v>OK</x:v>
      </x:c>
      <x:c r="C17" s="70" t="n">
        <x:f>'Сводка'!B19</x:f>
        <x:v>0.6697742850941547</x:v>
      </x:c>
      <x:c r="D17" t="str">
        <x:v>Информационная проверка</x:v>
      </x:c>
    </x:row>
    <x:row r="18">
      <x:c r="A18" t="str">
        <x:v>Положительная операционная прибыль к 12 месяцу</x:v>
      </x:c>
      <x:c r="B18" t="str">
        <x:f>IF('Прибыли и убытки'!M26&gt;=0,"OK","НЕТ")</x:f>
        <x:v>OK</x:v>
      </x:c>
      <x:c r="C18" s="55" t="n">
        <x:f>'Прибыли и убытки'!M26</x:f>
        <x:v>873245.8799517602</x:v>
      </x:c>
      <x:c r="D18" t="str">
        <x:v>Базовый сценарий</x:v>
      </x:c>
    </x:row>
    <x:row r="19">
      <x:c r="A19" t="str">
        <x:v>Минимальный денежный остаток</x:v>
      </x:c>
      <x:c r="B19" t="str">
        <x:f>IF(MIN('Денежный поток'!B11:AK11)&gt;='Допущения'!$K$26,"OK","ПРОВЕРИТЬ")</x:f>
        <x:v>ПРОВЕРИТЬ</x:v>
      </x:c>
      <x:c r="C19" s="55" t="n">
        <x:f>MIN('Денежный поток'!B11:AK11)</x:f>
        <x:v>1631167.4553679358</x:v>
      </x:c>
      <x:c r="D19" t="str">
        <x:v>Актуальный минимум после налогов и страховых взносов</x:v>
      </x:c>
    </x:row>
    <x:row r="20">
      <x:c r="A20" t="str">
        <x:v>Нужен дополнительный капитал?</x:v>
      </x:c>
      <x:c r="B20" t="str">
        <x:f>IF('Денежный поток'!AK17=0,"НЕТ","ДА")</x:f>
        <x:v>ДА</x:v>
      </x:c>
      <x:c r="C20" t="n">
        <x:f>'Денежный поток'!AK17</x:f>
        <x:v>8</x:v>
      </x:c>
      <x:c r="D20" t="str">
        <x:v>По порогу минимального резерва</x:v>
      </x:c>
    </x:row>
    <x:row r="21">
      <x:c r="A21" t="str">
        <x:v>Формульная целостность отчёта о прибылях и убытках</x:v>
      </x:c>
      <x:c r="B21" t="str">
        <x:f>IF(ABS(SUM('Прибыли и убытки'!B17:AK17)-SUM('Прибыли и убытки'!B25:AK25)-SUM('Прибыли и убытки'!B26:AK26))&lt;1,"OK","ПРОВЕРИТЬ")</x:f>
        <x:v>OK</x:v>
      </x:c>
      <x:c r="C21" t="n">
        <x:f>SUM('Прибыли и убытки'!B26:AK26)</x:f>
        <x:v>197587458.72281212</x:v>
      </x:c>
      <x:c r="D21" t="str">
        <x:v>Выручка - COGS - OPEX = EBITDA</x:v>
      </x:c>
    </x:row>
    <x:row r="23" ht="26" customHeight="1">
      <x:c r="A23" s="97" t="str">
        <x:v>Юнит-экономика — проверки</x:v>
      </x:c>
      <x:c r="B23" s="97"/>
      <x:c r="C23" s="97"/>
      <x:c r="D23" s="97" t="str"/>
    </x:row>
    <x:row r="24">
      <x:c r="A24" t="str">
        <x:v>Полная стоимость привлечения &gt; 0</x:v>
      </x:c>
      <x:c r="B24" t="str">
        <x:f>IF('Юнит-экономика'!H5&gt;0,"OK","ПРОВЕРИТЬ")</x:f>
        <x:v>OK</x:v>
      </x:c>
      <x:c r="C24" s="55" t="n">
        <x:f>'Юнит-экономика'!H5</x:f>
        <x:v>690148.3636363634</x:v>
      </x:c>
      <x:c r="D24" t="str">
        <x:v>Стоимость привлечения считается из фактических драйверов модели</x:v>
      </x:c>
    </x:row>
    <x:row r="25">
      <x:c r="A25" t="str">
        <x:v>Валовая маржа Ядра QORSYS &gt; 50%</x:v>
      </x:c>
      <x:c r="B25" t="str">
        <x:f>IF('Юнит-экономика'!H6&gt;0.5,"OK","ПРОВЕРИТЬ")</x:f>
        <x:v>OK</x:v>
      </x:c>
      <x:c r="C25" s="70" t="n">
        <x:f>'Юнит-экономика'!H6</x:f>
        <x:v>0.82</x:v>
      </x:c>
      <x:c r="D25" t="str">
        <x:v>Проверка SaaS-like contribution</x:v>
      </x:c>
    </x:row>
    <x:row r="26">
      <x:c r="A26" t="str">
        <x:v>Окупаемость стоимости привлечения &lt; 12 мес.</x:v>
      </x:c>
      <x:c r="B26" t="str">
        <x:f>IF('Юнит-экономика'!H8&lt;12,"OK","ПРОВЕРИТЬ")</x:f>
        <x:v>OK</x:v>
      </x:c>
      <x:c r="C26" s="99" t="n">
        <x:f>'Юнит-экономика'!H8</x:f>
        <x:v>3.3665773835920167</x:v>
      </x:c>
      <x:c r="D26" t="str">
        <x:v>До валидации только гипотеза</x:v>
      </x:c>
    </x:row>
    <x:row r="27">
      <x:c r="A27" t="str">
        <x:v>Первая оптимизация покрывает стоимость привлечения</x:v>
      </x:c>
      <x:c r="B27" t="str">
        <x:f>IF('Юнит-экономика'!H9&gt;=1,"OK","ПРОВЕРИТЬ")</x:f>
        <x:v>OK</x:v>
      </x:c>
      <x:c r="C27" s="100" t="n">
        <x:f>'Юнит-экономика'!H9</x:f>
        <x:v>1.666308377434523</x:v>
      </x:c>
      <x:c r="D27" t="str">
        <x:v>Коэффициент ≥1x</x:v>
      </x:c>
    </x:row>
    <x:row r="28">
      <x:c r="A28" t="str">
        <x:v>Теоретическая LTV помечена как гипотеза</x:v>
      </x:c>
      <x:c r="B28" t="str">
        <x:v>OK</x:v>
      </x:c>
      <x:c r="C28" t="str">
        <x:v>См. ограничения на листе Юнит-экономика</x:v>
      </x:c>
      <x:c r="D28" t="str">
        <x:v>Не использовать как основное доказательство</x:v>
      </x:c>
    </x:row>
    <x:row r="30" ht="26" customHeight="1">
      <x:c r="A30" s="112" t="str">
        <x:v>Оценка и инвестор — проверки</x:v>
      </x:c>
      <x:c r="B30" s="112"/>
      <x:c r="C30" s="112"/>
      <x:c r="D30" s="112" t="str"/>
    </x:row>
    <x:row r="31">
      <x:c r="A31" t="str">
        <x:v>Вероятности сценариев = 100%</x:v>
      </x:c>
      <x:c r="B31" t="str">
        <x:f>IF(ABS(SUM('Оценка и инвестор'!B7:D7)-1)&lt;0.0001,"OK","ПРОВЕРИТЬ")</x:f>
        <x:v>OK</x:v>
      </x:c>
      <x:c r="C31" s="70" t="n">
        <x:f>SUM('Оценка и инвестор'!B7:D7)</x:f>
        <x:v>1</x:v>
      </x:c>
      <x:c r="D31" t="str">
        <x:v>Сумма вероятностей должна быть ровно 100%</x:v>
      </x:c>
    </x:row>
    <x:row r="32">
      <x:c r="A32" t="str">
        <x:v>Оценка по методу 2 &gt; 0</x:v>
      </x:c>
      <x:c r="B32" t="str">
        <x:f>IF('Оценка и инвестор'!E27&gt;0,"OK","ПРОВЕРИТЬ")</x:f>
        <x:v>OK</x:v>
      </x:c>
      <x:c r="C32" s="55" t="n">
        <x:f>'Оценка и инвестор'!E27</x:f>
        <x:v>172089647.78832656</x:v>
      </x:c>
      <x:c r="D32" t="str">
        <x:v>Проверка расчёта</x:v>
      </x:c>
    </x:row>
    <x:row r="33">
      <x:c r="A33" t="str">
        <x:v>Текущая доля инвестора = 10%</x:v>
      </x:c>
      <x:c r="B33" t="str">
        <x:f>IF(ABS('Оценка и инвестор'!I6-0.1)&lt;0.0001,"OK","ПРОВЕРИТЬ")</x:f>
        <x:v>OK</x:v>
      </x:c>
      <x:c r="C33" s="70" t="n">
        <x:f>'Оценка и инвестор'!I6</x:f>
        <x:v>0.1</x:v>
      </x:c>
      <x:c r="D33" t="str">
        <x:v>Условия сделки</x:v>
      </x:c>
    </x:row>
    <x:row r="34">
      <x:c r="A34" t="str">
        <x:v>Доля после размытия &lt; 10%</x:v>
      </x:c>
      <x:c r="B34" t="str">
        <x:f>IF('Оценка и инвестор'!J27&lt;'Оценка и инвестор'!J25,"OK","ПРОВЕРИТЬ")</x:f>
        <x:v>OK</x:v>
      </x:c>
      <x:c r="C34" s="70" t="n">
        <x:f>'Оценка и инвестор'!J27</x:f>
        <x:v>0.0655278</x:v>
      </x:c>
      <x:c r="D34" t="str">
        <x:v>Проверка cap table</x:v>
      </x:c>
    </x:row>
    <x:row r="35">
      <x:c r="A35" t="str">
        <x:v>Консервативный MOIC отображён</x:v>
      </x:c>
      <x:c r="B35" t="str">
        <x:f>IF('Оценка и инвестор'!L32&gt;0,"OK","ПРОВЕРИТЬ")</x:f>
        <x:v>OK</x:v>
      </x:c>
      <x:c r="C35" s="100" t="n">
        <x:f>'Оценка и инвестор'!L32</x:f>
        <x:v>0.8807479645193749</x:v>
      </x:c>
      <x:c r="D35" t="str">
        <x:v>Может быть ниже 1x</x:v>
      </x:c>
    </x:row>
    <x:row r="36">
      <x:c r="A36" t="str">
        <x:v>Ошибки формул</x:v>
      </x:c>
      <x:c r="B36"/>
      <x:c r="C36"/>
      <x:c r="D36" t="str">
        <x:v>Проверяются отдельно</x:v>
      </x:c>
    </x:row>
    <x:row r="38" ht="26" customHeight="1">
      <x:c r="A38" s="170" t="str">
        <x:v>Стресс-тест — проверки</x:v>
      </x:c>
      <x:c r="B38" s="170"/>
      <x:c r="C38" s="170"/>
      <x:c r="D38" s="170" t="str"/>
    </x:row>
    <x:row r="39">
      <x:c r="A39" t="str">
        <x:v>Базовый сценарий рассчитан</x:v>
      </x:c>
      <x:c r="B39" t="str">
        <x:f>IF('Стресс-тест'!I11&gt;0,"OK","ПРОВЕРИТЬ")</x:f>
        <x:v>OK</x:v>
      </x:c>
      <x:c r="C39" s="55" t="n">
        <x:f>'Стресс-тест'!I11</x:f>
        <x:v>66665934.03317751</x:v>
      </x:c>
      <x:c r="D39" t="str">
        <x:v>Должен быть &gt;0 по выручке</x:v>
      </x:c>
    </x:row>
    <x:row r="40">
      <x:c r="A40" t="str">
        <x:v>Мягкий стресс рассчитан</x:v>
      </x:c>
      <x:c r="B40" t="str">
        <x:f>IF('Стресс-тест'!I12&gt;0,"OK","ПРОВЕРИТЬ")</x:f>
        <x:v>OK</x:v>
      </x:c>
      <x:c r="C40" s="55" t="n">
        <x:f>'Стресс-тест'!I12</x:f>
        <x:v>46360082.29404128</x:v>
      </x:c>
      <x:c r="D40" t="str">
        <x:v>Должен быть &gt;0 по выручке</x:v>
      </x:c>
    </x:row>
    <x:row r="41">
      <x:c r="A41" t="str">
        <x:v>Сильный стресс рассчитан</x:v>
      </x:c>
      <x:c r="B41" t="str">
        <x:f>IF('Стресс-тест'!I13&gt;0,"OK","ПРОВЕРИТЬ")</x:f>
        <x:v>OK</x:v>
      </x:c>
      <x:c r="C41" s="55" t="n">
        <x:f>'Стресс-тест'!I13</x:f>
        <x:v>27101774.121579695</x:v>
      </x:c>
      <x:c r="D41" t="str">
        <x:v>Должен быть &gt;0 по выручке</x:v>
      </x:c>
    </x:row>
    <x:row r="42">
      <x:c r="A42" t="str">
        <x:v>Экстремальный стресс рассчитан</x:v>
      </x:c>
      <x:c r="B42" t="str">
        <x:f>IF('Стресс-тест'!I14&gt;0,"OK","ПРОВЕРИТЬ")</x:f>
        <x:v>OK</x:v>
      </x:c>
      <x:c r="C42" s="55" t="n">
        <x:f>'Стресс-тест'!I14</x:f>
        <x:v>15422461.129813831</x:v>
      </x:c>
      <x:c r="D42" t="str">
        <x:v>Должен быть &gt;0 по выручке</x:v>
      </x:c>
    </x:row>
    <x:row r="43">
      <x:c r="A43" t="str">
        <x:v>Лаг оплаты ограничен 0–2 мес.</x:v>
      </x:c>
      <x:c r="B43" t="str">
        <x:f>IF(MAX('Стресс-тест'!B12:E12)&lt;=2,"OK","ПРОВЕРИТЬ")</x:f>
        <x:v>OK</x:v>
      </x:c>
      <x:c r="C43" t="n">
        <x:f>MAX('Стресс-тест'!B12:E12)</x:f>
        <x:v>2</x:v>
      </x:c>
      <x:c r="D43" t="str">
        <x:v>Формулы поддерживают 0/1/2 месяца</x:v>
      </x:c>
    </x:row>
    <x:row r="44">
      <x:c r="A44" t="str">
        <x:v>Минимальный резерв = 2,8 млн ₽</x:v>
      </x:c>
      <x:c r="B44" t="str">
        <x:f>IF(ABS('Допущения'!D26-2800000)&lt;1,"OK","ПРОВЕРИТЬ")</x:f>
        <x:v>OK</x:v>
      </x:c>
      <x:c r="C44" s="55" t="n">
        <x:f>'Допущения'!D26</x:f>
        <x:v>2800000</x:v>
      </x:c>
      <x:c r="D44" t="str">
        <x:v>Связан с основными допущениями</x:v>
      </x:c>
    </x:row>
    <x:row r="46" ht="26" customHeight="1">
      <x:c r="A46" s="186" t="str">
        <x:v>Финализация v1.5 TAX SUPPORT</x:v>
      </x:c>
      <x:c r="B46" s="186"/>
      <x:c r="C46" s="186"/>
      <x:c r="D46" s="186"/>
    </x:row>
    <x:row r="47">
      <x:c r="A47" t="str">
        <x:v>Переключатель налогового сценария работает</x:v>
      </x:c>
      <x:c r="B47" t="str">
        <x:v>OK</x:v>
      </x:c>
      <x:c r="C47" t="str">
        <x:f>'Налоги и господдержка'!B82</x:f>
        <x:v>УСН 6% → СПб IT 1% после gate</x:v>
      </x:c>
      <x:c r="D47" t="str">
        <x:v>B82 содержит 5 tax-system-aware сценариев</x:v>
      </x:c>
    </x:row>
    <x:row r="48">
      <x:c r="A48" t="str">
        <x:v>VAT threshold 2027–2029 = 20 млн внутригoдовой</x:v>
      </x:c>
      <x:c r="B48" t="str">
        <x:v>OK</x:v>
      </x:c>
      <x:c r="C48" s="55" t="n">
        <x:v>20000000</x:v>
      </x:c>
      <x:c r="D48" t="str">
        <x:v>Ст.145 НК РФ после 228-ФЗ</x:v>
      </x:c>
    </x:row>
    <x:row r="49">
      <x:c r="A49" t="str">
        <x:v>Support fake-input удален</x:v>
      </x:c>
      <x:c r="B49" t="str">
        <x:v>OK</x:v>
      </x:c>
      <x:c r="C49" s="55" t="str">
        <x:v>N/A</x:v>
      </x:c>
      <x:c r="D49" t="str">
        <x:v>Q-SUPPORT не моделируется отдельной выручкой до появления revenue line</x:v>
      </x:c>
    </x:row>
    <x:row r="50">
      <x:c r="A50" t="str">
        <x:v>Формульные ошибки отсутствуют</x:v>
      </x:c>
      <x:c r="B50" t="str">
        <x:v>СМ. ФИНАЛЬНЫЙ СКАН</x:v>
      </x:c>
      <x:c r="C50"/>
      <x:c r="D50" t="str">
        <x:v>Финальный скан после FIX-1</x:v>
      </x:c>
    </x:row>
    <x:row r="51">
      <x:c r="A51" t="str">
        <x:v>Микрогранты Сколково gated by МТК</x:v>
      </x:c>
      <x:c r="B51" t="str">
        <x:f>IF(AND('Налоги и господдержка'!D52=0,'Налоги и господдержка'!B115=0),"OK","ПРОВЕРИТЬ")</x:f>
        <x:v>OK</x:v>
      </x:c>
      <x:c r="C51" t="n">
        <x:f>'Налоги и господдержка'!B115</x:f>
        <x:v>0</x:v>
      </x:c>
      <x:c r="D51" t="str">
        <x:v>Full microgrant line cannot enter CF before MTC effective month</x:v>
      </x:c>
    </x:row>
    <x:row r="52">
      <x:c r="A52" t="str">
        <x:v>Сколково tax split USN/OSNO</x:v>
      </x:c>
      <x:c r="B52" t="str">
        <x:v>OK</x:v>
      </x:c>
      <x:c r="C52" t="n">
        <x:v>5</x:v>
      </x:c>
      <x:c r="D52" t="str">
        <x:v>Dropdown has separate USN and OSNO scenarios</x:v>
      </x:c>
    </x:row>
    <x:row r="53">
      <x:c r="A53" t="str">
        <x:v>MTC financing separated from grants</x:v>
      </x:c>
      <x:c r="B53" t="str">
        <x:v>OK</x:v>
      </x:c>
      <x:c r="C53" t="str">
        <x:v>Высокотех</x:v>
      </x:c>
      <x:c r="D53" t="str">
        <x:v>Debt instrument is not auto-added to Cash Flow</x:v>
      </x:c>
    </x:row>
  </x:sheetData>
  <x:mergeCells>
    <x:mergeCell ref="A1:D1"/>
  </x:mergeCells>
  <x:conditionalFormatting sqref="B4:B8">
    <x:cfRule type="expression" dxfId="1" priority="1">
      <x:formula>B4="OK"</x:formula>
    </x:cfRule>
    <x:cfRule type="expression" dxfId="2" priority="2">
      <x:formula>OR(B4="ТРЕБУЕТСЯ",B4="ТРЕБУЕТСЯ ФИНАНСИРОВАНИЕ")</x:formula>
    </x:cfRule>
  </x:conditionalFormatting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28" hidden="0" customWidth="1"/>
    <x:col min="3" max="3" width="34" hidden="0" customWidth="1"/>
    <x:col min="4" max="4" width="18" hidden="0" customWidth="1"/>
    <x:col min="5" max="5" width="18" hidden="0" customWidth="1"/>
    <x:col min="6" max="6" width="44" hidden="0" customWidth="1"/>
  </x:cols>
  <x:sheetData>
    <x:row r="1" ht="26" customHeight="1">
      <x:c r="A1" s="46" t="str">
        <x:v>Источники и статус допущений</x:v>
      </x:c>
      <x:c r="B1" s="46"/>
      <x:c r="C1" s="46"/>
      <x:c r="D1" s="46"/>
      <x:c r="E1" s="46"/>
      <x:c r="F1" s="46"/>
      <x:c r="G1" s="41"/>
      <x:c r="H1" s="41"/>
      <x:c r="I1" s="41"/>
      <x:c r="J1" s="41"/>
      <x:c r="K1" s="41"/>
      <x:c r="L1" s="41"/>
      <x:c r="M1" s="41"/>
      <x:c r="N1" s="41"/>
      <x:c r="O1" s="41"/>
      <x:c r="P1" s="41"/>
      <x:c r="Q1" s="41"/>
      <x:c r="R1" s="41"/>
      <x:c r="S1" s="41"/>
      <x:c r="T1" s="41"/>
      <x:c r="U1" s="41"/>
      <x:c r="V1" s="41"/>
      <x:c r="W1" s="41"/>
      <x:c r="X1" s="41"/>
      <x:c r="Y1" s="41"/>
      <x:c r="Z1" s="41"/>
      <x:c r="AA1" s="41"/>
      <x:c r="AB1" s="41"/>
      <x:c r="AC1" s="41"/>
      <x:c r="AD1" s="41"/>
      <x:c r="AE1" s="41"/>
      <x:c r="AF1" s="41"/>
      <x:c r="AG1" s="41"/>
      <x:c r="AH1" s="41"/>
      <x:c r="AI1" s="41"/>
      <x:c r="AJ1" s="41"/>
      <x:c r="AK1" s="41"/>
    </x:row>
    <x:row r="3" ht="28" customHeight="1">
      <x:c r="A3" s="12" t="str">
        <x:v>Блок</x:v>
      </x:c>
      <x:c r="B3" s="12" t="str">
        <x:v>Параметр</x:v>
      </x:c>
      <x:c r="C3" s="12" t="str">
        <x:v>Источник</x:v>
      </x:c>
      <x:c r="D3" s="12" t="str">
        <x:v>Дата</x:v>
      </x:c>
      <x:c r="E3" s="12" t="str">
        <x:v>Статус</x:v>
      </x:c>
      <x:c r="F3" s="12" t="str">
        <x:v>Примечание</x:v>
      </x:c>
    </x:row>
    <x:row r="4">
      <x:c r="A4" t="str">
        <x:v>Раунд</x:v>
      </x:c>
      <x:c r="B4" t="str">
        <x:v>15 млн ₽ за 10%</x:v>
      </x:c>
      <x:c r="C4" t="str">
        <x:v>Данные основателя / текущий WORKIT</x:v>
      </x:c>
      <x:c r="D4" t="str">
        <x:v>02.10.2026</x:v>
      </x:c>
      <x:c r="E4" t="str">
        <x:v>Подтверждено пользователем</x:v>
      </x:c>
      <x:c r="F4" t="str">
        <x:v>Оценка до инвестиций 135 млн ₽, после инвестиций 150 млн ₽</x:v>
      </x:c>
    </x:row>
    <x:row r="5">
      <x:c r="A5" t="str">
        <x:v>Коммерция</x:v>
      </x:c>
      <x:c r="B5" t="str">
        <x:v>QORSYS 14 — бесплатный 14-дневный аудит</x:v>
      </x:c>
      <x:c r="C5" t="str">
        <x:v>QORSYS BRAND v1.0 / Technical Summary</x:v>
      </x:c>
      <x:c r="D5" t="str">
        <x:v>02.10.2026</x:v>
      </x:c>
      <x:c r="E5" t="str">
        <x:v>Зафиксировано в продуктовой рамке</x:v>
      </x:c>
      <x:c r="F5" t="str">
        <x:v>Режим только чтения</x:v>
      </x:c>
    </x:row>
    <x:row r="6">
      <x:c r="A6" t="str">
        <x:v>Цена</x:v>
      </x:c>
      <x:c r="B6" t="str">
        <x:v>Ядро QORSYS 250 тыс. ₽/мес.</x:v>
      </x:c>
      <x:c r="C6" t="str">
        <x:v>Гипотеза WORKIT</x:v>
      </x:c>
      <x:c r="D6" t="str">
        <x:v>02.10.2026</x:v>
      </x:c>
      <x:c r="E6" t="str">
        <x:v>Требует валидации</x:v>
      </x:c>
      <x:c r="F6" t="str">
        <x:v>Первый сегмент 100–500 сотрудников</x:v>
      </x:c>
    </x:row>
    <x:row r="7">
      <x:c r="A7" t="str">
        <x:v>Цена</x:v>
      </x:c>
      <x:c r="B7" t="str">
        <x:v>Оптимизация 1,5 млн ₽</x:v>
      </x:c>
      <x:c r="C7" t="str">
        <x:v>Гипотеза WORKIT</x:v>
      </x:c>
      <x:c r="D7" t="str">
        <x:v>02.10.2026</x:v>
      </x:c>
      <x:c r="E7" t="str">
        <x:v>Требует валидации</x:v>
      </x:c>
      <x:c r="F7" t="str">
        <x:v>Диапазон 1,2–2,0 млн ₽</x:v>
      </x:c>
    </x:row>
    <x:row r="8">
      <x:c r="A8" t="str">
        <x:v>Воронка</x:v>
      </x:c>
      <x:c r="B8" t="str">
        <x:v>Конверсии Аудит→Оптимизация→Ядро QORSYS</x:v>
      </x:c>
      <x:c r="C8" t="str">
        <x:v>Гипотеза WORKIT</x:v>
      </x:c>
      <x:c r="D8" t="str">
        <x:v>02.10.2026</x:v>
      </x:c>
      <x:c r="E8" t="str">
        <x:v>Требует валидации</x:v>
      </x:c>
      <x:c r="F8" t="str">
        <x:v>Первые 10–20 аудитов должны дать факт</x:v>
      </x:c>
    </x:row>
    <x:row r="9">
      <x:c r="A9" t="str">
        <x:v>Расходы</x:v>
      </x:c>
      <x:c r="B9" t="str">
        <x:v>Команда и opex</x:v>
      </x:c>
      <x:c r="C9" t="str">
        <x:v>План WORKIT-26</x:v>
      </x:c>
      <x:c r="D9" t="str">
        <x:v>02.10.2026</x:v>
      </x:c>
      <x:c r="E9" t="str">
        <x:v>Допущение основателя</x:v>
      </x:c>
      <x:c r="F9" t="str">
        <x:v>Не является подтверждённым бюджетом</x:v>
      </x:c>
    </x:row>
    <x:row r="10">
      <x:c r="A10" t="str">
        <x:v>Налоги</x:v>
      </x:c>
      <x:c r="B10" t="str">
        <x:v>Базовый налоговый сценарий</x:v>
      </x:c>
      <x:c r="C10" t="str">
        <x:v>ФНС + QORSYS Tax Master v1.5</x:v>
      </x:c>
      <x:c r="D10" t="str">
        <x:v>03.10.2026</x:v>
      </x:c>
      <x:c r="E10" t="str">
        <x:v>Сценарный input</x:v>
      </x:c>
      <x:c r="F10" t="str">
        <x:v>Обычные ставки действуют до effective-date; IT/Skolkovo льготы не применяются задним числом.</x:v>
      </x:c>
    </x:row>
    <x:row r="11">
      <x:c r="A11" t="str">
        <x:v>Valuation</x:v>
      </x:c>
      <x:c r="B11" t="str">
        <x:v>Будущая оценка компании</x:v>
      </x:c>
      <x:c r="C11" t="str">
        <x:v>Не рассчитана</x:v>
      </x:c>
      <x:c r="D11" t="str">
        <x:v>02.10.2026</x:v>
      </x:c>
      <x:c r="E11" t="str">
        <x:v>Открытый вопрос</x:v>
      </x:c>
      <x:c r="F11" t="str">
        <x:v>Skill требует ≥2 методов и источники; пока не показываем</x:v>
      </x:c>
    </x:row>
    <x:row r="13">
      <x:c r="A13" t="str">
        <x:v>Себестоимость</x:v>
      </x:c>
      <x:c r="B13" t="str">
        <x:v>Оптимизация — прямая себестоимость</x:v>
      </x:c>
      <x:c r="C13" t="str">
        <x:v>Допущение WORKIT-30.2</x:v>
      </x:c>
      <x:c r="D13" t="str">
        <x:v>02.10.2026</x:v>
      </x:c>
      <x:c r="E13" t="str">
        <x:v>Требует валидации</x:v>
      </x:c>
      <x:c r="F13" t="str">
        <x:v>Консервативный/базовый/целевой: 450/350/300 тыс. ₽</x:v>
      </x:c>
    </x:row>
    <x:row r="14">
      <x:c r="A14" t="str">
        <x:v>Себестоимость</x:v>
      </x:c>
      <x:c r="B14" t="str">
        <x:v>Поддержка Ядра QORSYS на клиента</x:v>
      </x:c>
      <x:c r="C14" t="str">
        <x:v>Допущение WORKIT-30.2</x:v>
      </x:c>
      <x:c r="D14" t="str">
        <x:v>02.10.2026</x:v>
      </x:c>
      <x:c r="E14" t="str">
        <x:v>Требует валидации</x:v>
      </x:c>
      <x:c r="F14" t="str">
        <x:v>30/25/20 тыс. ₽ в месяц</x:v>
      </x:c>
    </x:row>
    <x:row r="15">
      <x:c r="A15" t="str">
        <x:v>Расходы</x:v>
      </x:c>
      <x:c r="B15" t="str">
        <x:v>Постоянная и переменная инфраструктура</x:v>
      </x:c>
      <x:c r="C15" t="str">
        <x:v>Допущение WORKIT-30.2</x:v>
      </x:c>
      <x:c r="D15" t="str">
        <x:v>02.10.2026</x:v>
      </x:c>
      <x:c r="E15" t="str">
        <x:v>Требует валидации</x:v>
      </x:c>
      <x:c r="F15" t="str">
        <x:v>Выведено из формул в отдельные inputs</x:v>
      </x:c>
    </x:row>
    <x:row r="16">
      <x:c r="A16" t="str">
        <x:v>Расходы</x:v>
      </x:c>
      <x:c r="B16" t="str">
        <x:v>Продажи, маркетинг, G&amp;A</x:v>
      </x:c>
      <x:c r="C16" t="str">
        <x:v>План WORKIT-26 + допущения</x:v>
      </x:c>
      <x:c r="D16" t="str">
        <x:v>02.10.2026</x:v>
      </x:c>
      <x:c r="E16" t="str">
        <x:v>Требует детализации</x:v>
      </x:c>
      <x:c r="F16" t="str">
        <x:v>Сценарно управляется</x:v>
      </x:c>
    </x:row>
    <x:row r="17">
      <x:c r="A17" t="str">
        <x:v>Налоги</x:v>
      </x:c>
      <x:c r="B17" t="str">
        <x:v>Effective-date tax bridge</x:v>
      </x:c>
      <x:c r="C17" t="str">
        <x:v>QORSYS FINMODEL v1.5 + официальные источники</x:v>
      </x:c>
      <x:c r="D17" t="str">
        <x:v>03.10.2026</x:v>
      </x:c>
      <x:c r="E17" t="str">
        <x:v>Исправлено</x:v>
      </x:c>
      <x:c r="F17" t="str">
        <x:v>Налог и страховые взносы переключаются по status gates.</x:v>
      </x:c>
    </x:row>
    <x:row r="18">
      <x:c r="A18" t="str">
        <x:v>Деньги</x:v>
      </x:c>
      <x:c r="B18" t="str">
        <x:v>Минимальный денежный резерв</x:v>
      </x:c>
      <x:c r="C18" t="str">
        <x:v>WORKIT-26</x:v>
      </x:c>
      <x:c r="D18" t="str">
        <x:v>02.10.2026</x:v>
      </x:c>
      <x:c r="E18" t="str">
        <x:v>Подтверждено в модели</x:v>
      </x:c>
      <x:c r="F18" t="str">
        <x:v>2,8 млн ₽</x:v>
      </x:c>
    </x:row>
    <x:row r="19">
      <x:c r="A19" t="str">
        <x:v>Деньги</x:v>
      </x:c>
      <x:c r="B19" t="str">
        <x:v>Лаг оплаты</x:v>
      </x:c>
      <x:c r="C19" t="str">
        <x:v>Упрощение WORKIT-30.2</x:v>
      </x:c>
      <x:c r="D19" t="str">
        <x:v>02.10.2026</x:v>
      </x:c>
      <x:c r="E19" t="str">
        <x:v>Требует проверки</x:v>
      </x:c>
      <x:c r="F19" t="str">
        <x:v>Пока 0 месяцев для Core и Optimize</x:v>
      </x:c>
    </x:row>
    <x:row r="21">
      <x:c r="A21" t="str">
        <x:v>Юнит-экономика</x:v>
      </x:c>
      <x:c r="B21" t="str">
        <x:v>Полная стоимость привлечения клиента (CAC)</x:v>
      </x:c>
      <x:c r="C21" t="str">
        <x:v>Формула WORKIT-30.3</x:v>
      </x:c>
      <x:c r="D21" t="str">
        <x:v>02.10.2026</x:v>
      </x:c>
      <x:c r="E21" t="str">
        <x:v>Расчётный показатель</x:v>
      </x:c>
      <x:c r="F21" t="str">
        <x:v>(Продажи и маркетинг + себестоимость бесплатных аудитов) / новые клиенты Ядра QORSYS</x:v>
      </x:c>
    </x:row>
    <x:row r="22">
      <x:c r="A22" t="str">
        <x:v>Юнит-экономика</x:v>
      </x:c>
      <x:c r="B22" t="str">
        <x:v>Валовая прибыль Ядра</x:v>
      </x:c>
      <x:c r="C22" t="str">
        <x:v>Формула WORKIT-30.3</x:v>
      </x:c>
      <x:c r="D22" t="str">
        <x:v>02.10.2026</x:v>
      </x:c>
      <x:c r="E22" t="str">
        <x:v>Расчётный показатель</x:v>
      </x:c>
      <x:c r="F22" t="str">
        <x:v>Цена Core - прямая поддержка - переменная инфраструктура</x:v>
      </x:c>
    </x:row>
    <x:row r="23">
      <x:c r="A23" t="str">
        <x:v>Юнит-экономика</x:v>
      </x:c>
      <x:c r="B23" t="str">
        <x:v>24-месячный вклад клиента</x:v>
      </x:c>
      <x:c r="C23" t="str">
        <x:v>Формула WORKIT-30.3</x:v>
      </x:c>
      <x:c r="D23" t="str">
        <x:v>02.10.2026</x:v>
      </x:c>
      <x:c r="E23" t="str">
        <x:v>Расчётный показатель</x:v>
      </x:c>
      <x:c r="F23" t="str">
        <x:v>Оптимизация GP + recurring contribution с учётом churn</x:v>
      </x:c>
    </x:row>
    <x:row r="24">
      <x:c r="A24" t="str">
        <x:v>Юнит-экономика</x:v>
      </x:c>
      <x:c r="B24" t="str">
        <x:v>Теоретическая пожизненная ценность клиента (LTV)</x:v>
      </x:c>
      <x:c r="C24" t="str">
        <x:v>Формула на основе churn</x:v>
      </x:c>
      <x:c r="D24" t="str">
        <x:v>02.10.2026</x:v>
      </x:c>
      <x:c r="E24" t="str">
        <x:v>Не валидировано</x:v>
      </x:c>
      <x:c r="F24" t="str">
        <x:v>Не использовать как основной показатель для инвестора до накопления истории клиентских когорт</x:v>
      </x:c>
    </x:row>
    <x:row r="25">
      <x:c r="A25" t="str">
        <x:v>Масштабирование</x:v>
      </x:c>
      <x:c r="B25" t="str">
        <x:v>Затраты на привлечение 10/50/100 клиентов</x:v>
      </x:c>
      <x:c r="C25" t="str">
        <x:v>Формула WORKIT-30.3</x:v>
      </x:c>
      <x:c r="D25" t="str">
        <x:v>02.10.2026</x:v>
      </x:c>
      <x:c r="E25" t="str">
        <x:v>Частичная модель</x:v>
      </x:c>
      <x:c r="F25" t="str">
        <x:v>Показывает затраты на привлечение; не включает будущий план найма</x:v>
      </x:c>
    </x:row>
    <x:row r="27">
      <x:c r="A27" t="str">
        <x:v>Оценка</x:v>
      </x:c>
      <x:c r="B27" t="str">
        <x:v>SEG 2Q26 public SaaS multiple</x:v>
      </x:c>
      <x:c r="C27" t="str">
        <x:v>Software Equity Group</x:v>
      </x:c>
      <x:c r="D27" t="str">
        <x:v>2Q 2026</x:v>
      </x:c>
      <x:c r="E27" t="str">
        <x:v>Внешний ориентир</x:v>
      </x:c>
      <x:c r="F27" t="str">
        <x:v>https://softwareequity.com/research/quarterly-saas-report</x:v>
      </x:c>
    </x:row>
    <x:row r="28">
      <x:c r="A28" t="str">
        <x:v>Оценка</x:v>
      </x:c>
      <x:c r="B28" t="str">
        <x:v>Clouded Judgement public SaaS median</x:v>
      </x:c>
      <x:c r="C28" t="str">
        <x:v>Clouded Judgement</x:v>
      </x:c>
      <x:c r="D28" t="str">
        <x:v>25.09.2026</x:v>
      </x:c>
      <x:c r="E28" t="str">
        <x:v>Внешний ориентир</x:v>
      </x:c>
      <x:c r="F28" t="str">
        <x:v>https://cloudedjudgement.substack.com/p/clouded-judgement-92526-own-the-interaction</x:v>
      </x:c>
    </x:row>
    <x:row r="29">
      <x:c r="A29" t="str">
        <x:v>Оценка</x:v>
      </x:c>
      <x:c r="B29" t="str">
        <x:v>Private SaaS M&amp;A multiple</x:v>
      </x:c>
      <x:c r="C29" t="str">
        <x:v>Aventis Advisors</x:v>
      </x:c>
      <x:c r="D29" t="str">
        <x:v>2026</x:v>
      </x:c>
      <x:c r="E29" t="str">
        <x:v>Внешний ориентир</x:v>
      </x:c>
      <x:c r="F29" t="str">
        <x:v>https://aventis-advisors.com/saas-valuation-multiples/</x:v>
      </x:c>
    </x:row>
    <x:row r="30">
      <x:c r="A30" t="str">
        <x:v>Cap table</x:v>
      </x:c>
      <x:c r="B30" t="str">
        <x:v>Median Seed dilution</x:v>
      </x:c>
      <x:c r="C30" t="str">
        <x:v>Carta</x:v>
      </x:c>
      <x:c r="D30" t="str">
        <x:v>Q2 2026</x:v>
      </x:c>
      <x:c r="E30" t="str">
        <x:v>Внешний ориентир, США</x:v>
      </x:c>
      <x:c r="F30" t="str">
        <x:v>https://carta.com/learn/startups/fundraising/seed-funding/</x:v>
      </x:c>
    </x:row>
    <x:row r="31">
      <x:c r="A31" t="str">
        <x:v>Cap table</x:v>
      </x:c>
      <x:c r="B31" t="str">
        <x:v>Median Series A dilution</x:v>
      </x:c>
      <x:c r="C31" t="str">
        <x:v>Carta</x:v>
      </x:c>
      <x:c r="D31" t="str">
        <x:v>Q2 2026</x:v>
      </x:c>
      <x:c r="E31" t="str">
        <x:v>Внешний ориентир, США</x:v>
      </x:c>
      <x:c r="F31" t="str">
        <x:v>https://carta.com/learn/startups/fundraising/series-a/</x:v>
      </x:c>
    </x:row>
    <x:row r="32">
      <x:c r="A32" t="str">
        <x:v>Оценка</x:v>
      </x:c>
      <x:c r="B32" t="str">
        <x:v>VC target return 50–70%</x:v>
      </x:c>
      <x:c r="C32" t="str">
        <x:v>Aswath Damodaran</x:v>
      </x:c>
      <x:c r="D32" t="str">
        <x:v>метод VC</x:v>
      </x:c>
      <x:c r="E32" t="str">
        <x:v>Методологический ориентир</x:v>
      </x:c>
      <x:c r="F32" t="str">
        <x:v>https://pages.stern.nyu.edu/~adamodar/pdfiles/DSV2/DSV2.pdf</x:v>
      </x:c>
    </x:row>
    <x:row r="34">
      <x:c r="A34" t="str">
        <x:v>Стресс-тест</x:v>
      </x:c>
      <x:c r="B34" t="str">
        <x:v>Лаг оплаты 0/30/60 дней</x:v>
      </x:c>
      <x:c r="C34" t="str">
        <x:v>WORKIT-30.5</x:v>
      </x:c>
      <x:c r="D34" t="str">
        <x:v>02.10.2026</x:v>
      </x:c>
      <x:c r="E34" t="str">
        <x:v>Сценарное допущение</x:v>
      </x:c>
      <x:c r="F34" t="str">
        <x:v>Не является фактическим DSO; меняется пользователем</x:v>
      </x:c>
    </x:row>
    <x:row r="35">
      <x:c r="A35" t="str">
        <x:v>Стресс-тест</x:v>
      </x:c>
      <x:c r="B35" t="str">
        <x:v>Падение конверсии</x:v>
      </x:c>
      <x:c r="C35" t="str">
        <x:v>WORKIT-30.5</x:v>
      </x:c>
      <x:c r="D35" t="str">
        <x:v>02.10.2026</x:v>
      </x:c>
      <x:c r="E35" t="str">
        <x:v>Сценарное допущение</x:v>
      </x:c>
      <x:c r="F35" t="str">
        <x:v>Audit→Optimize: 85/70/55%; Optimize→Core: 90/80/70%</x:v>
      </x:c>
    </x:row>
    <x:row r="36">
      <x:c r="A36" t="str">
        <x:v>Стресс-тест</x:v>
      </x:c>
      <x:c r="B36" t="str">
        <x:v>Рост себестоимости аудита</x:v>
      </x:c>
      <x:c r="C36" t="str">
        <x:v>WORKIT-30.5</x:v>
      </x:c>
      <x:c r="D36" t="str">
        <x:v>02.10.2026</x:v>
      </x:c>
      <x:c r="E36" t="str">
        <x:v>Сценарное допущение</x:v>
      </x:c>
      <x:c r="F36" t="str">
        <x:v>+15% / +30% / +50%</x:v>
      </x:c>
    </x:row>
    <x:row r="37">
      <x:c r="A37" t="str">
        <x:v>Стресс-тест</x:v>
      </x:c>
      <x:c r="B37" t="str">
        <x:v>Дополнительный отток</x:v>
      </x:c>
      <x:c r="C37" t="str">
        <x:v>WORKIT-30.5</x:v>
      </x:c>
      <x:c r="D37" t="str">
        <x:v>02.10.2026</x:v>
      </x:c>
      <x:c r="E37" t="str">
        <x:v>Сценарное допущение</x:v>
      </x:c>
      <x:c r="F37" t="str">
        <x:v>+0,5 / +1,0 / +2,0 п.п. в месяц</x:v>
      </x:c>
    </x:row>
    <x:row r="38">
      <x:c r="A38" t="str">
        <x:v>Стресс-тест</x:v>
      </x:c>
      <x:c r="B38" t="str">
        <x:v>Условная налоговая нагрузка</x:v>
      </x:c>
      <x:c r="C38" t="str">
        <x:v>WORKIT-30.5</x:v>
      </x:c>
      <x:c r="D38" t="str">
        <x:v>02.10.2026</x:v>
      </x:c>
      <x:c r="E38" t="str">
        <x:v>Чувствительность, не налоговая консультация</x:v>
      </x:c>
      <x:c r="F38" t="str">
        <x:v>10% / 15% / 20% от положительной EBITDA</x:v>
      </x:c>
    </x:row>
    <x:row r="39">
      <x:c r="A39" t="str">
        <x:v>Стресс-тест</x:v>
      </x:c>
      <x:c r="B39" t="str">
        <x:v>Дополнительная команда роста</x:v>
      </x:c>
      <x:c r="C39" t="str">
        <x:v>WORKIT-30.5</x:v>
      </x:c>
      <x:c r="D39" t="str">
        <x:v>02.10.2026</x:v>
      </x:c>
      <x:c r="E39" t="str">
        <x:v>Модельное допущение</x:v>
      </x:c>
      <x:c r="F39" t="str">
        <x:v>Ступени при &gt;10 / &gt;25 / &gt;50 / &gt;100 активных клиентов</x:v>
      </x:c>
    </x:row>
    <x:row r="41">
      <x:c r="A41" t="str">
        <x:v>История модели</x:v>
      </x:c>
      <x:c r="B41" t="str">
        <x:v>Инвесторский дашборд v1.0</x:v>
      </x:c>
      <x:c r="C41" t="str">
        <x:v>WORKIT-30.6</x:v>
      </x:c>
      <x:c r="D41" t="str">
        <x:v>02.10.2026</x:v>
      </x:c>
      <x:c r="E41" t="str">
        <x:v>Исторический baseline</x:v>
      </x:c>
      <x:c r="F41" t="str">
        <x:v>Не является финальным tax layer</x:v>
      </x:c>
    </x:row>
    <x:row r="42">
      <x:c r="A42" t="str">
        <x:v>История модели</x:v>
      </x:c>
      <x:c r="B42" t="str">
        <x:v>Параметры сайта v1.0</x:v>
      </x:c>
      <x:c r="C42" t="str">
        <x:v>WORKIT-30.6</x:v>
      </x:c>
      <x:c r="D42" t="str">
        <x:v>02.10.2026</x:v>
      </x:c>
      <x:c r="E42" t="str">
        <x:v>Исторический baseline</x:v>
      </x:c>
      <x:c r="F42" t="str">
        <x:v>Сохранена связь Excel → web calculator</x:v>
      </x:c>
    </x:row>
    <x:row r="43">
      <x:c r="A43" t="str">
        <x:v>История модели</x:v>
      </x:c>
      <x:c r="B43" t="str">
        <x:v>Стресс-тест v1.0</x:v>
      </x:c>
      <x:c r="C43" t="str">
        <x:v>WORKIT-30.5</x:v>
      </x:c>
      <x:c r="D43" t="str">
        <x:v>02.10.2026</x:v>
      </x:c>
      <x:c r="E43" t="str">
        <x:v>Исторический baseline</x:v>
      </x:c>
      <x:c r="F43" t="str">
        <x:v>4 сценария достаточности капитала</x:v>
      </x:c>
    </x:row>
    <x:row r="44">
      <x:c r="A44" t="str">
        <x:v>История модели</x:v>
      </x:c>
      <x:c r="B44" t="str">
        <x:v>Версия для инвестора v1.0</x:v>
      </x:c>
      <x:c r="C44" t="str">
        <x:v>WORKIT-30.6</x:v>
      </x:c>
      <x:c r="D44" t="str">
        <x:v>02.10.2026</x:v>
      </x:c>
      <x:c r="E44" t="str">
        <x:v>Исторический baseline</x:v>
      </x:c>
      <x:c r="F44" t="str">
        <x:v>До tax/legal overlays</x:v>
      </x:c>
    </x:row>
    <x:row r="45">
      <x:c r="A45" t="str">
        <x:v>Расходы</x:v>
      </x:c>
      <x:c r="B45" t="str">
        <x:v>Ростовая команда по мере клиентской базы</x:v>
      </x:c>
      <x:c r="C45" t="str">
        <x:v>WORKIT-30.6</x:v>
      </x:c>
      <x:c r="D45" t="str">
        <x:v>02.10.2026</x:v>
      </x:c>
      <x:c r="E45" t="str">
        <x:v>Сценарное допущение</x:v>
      </x:c>
      <x:c r="F45" t="str">
        <x:v>Пороги 10/25/50/100 активных клиентов</x:v>
      </x:c>
    </x:row>
    <x:row r="46">
      <x:c r="A46" t="str">
        <x:v>Модель v1.5</x:v>
      </x:c>
      <x:c r="B46" t="str">
        <x:v>LEGAL / TAX / GRANT master</x:v>
      </x:c>
      <x:c r="C46" t="str">
        <x:v>Актуальная книга</x:v>
      </x:c>
      <x:c r="D46" t="str">
        <x:v>03.10.2026</x:v>
      </x:c>
      <x:c r="E46" t="str">
        <x:v>Текущая версия</x:v>
      </x:c>
      <x:c r="F46" t="str">
        <x:v>Effective-date, Contract/NDS, Skolkovo, MTC, grants</x:v>
      </x:c>
    </x:row>
    <x:row r="48">
      <x:c r="A48" t="str">
        <x:v>НДС/УСН</x:v>
      </x:c>
      <x:c r="B48" t="str">
        <x:v>Ст.145 — два порога</x:v>
      </x:c>
      <x:c r="C48" t="str">
        <x:v>НК РФ, актуальная редакция</x:v>
      </x:c>
      <x:c r="D48" t="str">
        <x:v>03.10.2026</x:v>
      </x:c>
      <x:c r="E48" t="str">
        <x:v>Проверено</x:v>
      </x:c>
      <x:c r="F48" t="str">
        <x:v>https://www.consultant.ru/document/cons_doc_LAW_28165/8f399ec989074fdad875f9a672a1b091ea9bf05c/</x:v>
      </x:c>
    </x:row>
    <x:row r="49">
      <x:c r="A49" t="str">
        <x:v>СПб УСН</x:v>
      </x:c>
      <x:c r="B49" t="str">
        <x:v>Стандарт 6% / 7%; IT 1% / 5%</x:v>
      </x:c>
      <x:c r="C49" t="str">
        <x:v>ФНС Санкт-Петербург</x:v>
      </x:c>
      <x:c r="D49" t="str">
        <x:v>03.10.2026</x:v>
      </x:c>
      <x:c r="E49" t="str">
        <x:v>Проверено</x:v>
      </x:c>
      <x:c r="F49" t="str">
        <x:v>https://www.nalog.gov.ru/rn78/taxation/taxes/usn/</x:v>
      </x:c>
    </x:row>
    <x:row r="50">
      <x:c r="A50" t="str">
        <x:v>Страховые взносы</x:v>
      </x:c>
      <x:c r="B50" t="str">
        <x:v>Общий тариф 30% / 15,1%</x:v>
      </x:c>
      <x:c r="C50" t="str">
        <x:v>ФНС</x:v>
      </x:c>
      <x:c r="D50" t="str">
        <x:v>03.10.2026</x:v>
      </x:c>
      <x:c r="E50" t="str">
        <x:v>Проверено</x:v>
      </x:c>
      <x:c r="F50" t="str">
        <x:v>https://www.nalog.gov.ru/rn77/taxation/insprem/</x:v>
      </x:c>
    </x:row>
    <x:row r="51">
      <x:c r="A51" t="str">
        <x:v>IT льготы</x:v>
      </x:c>
      <x:c r="B51" t="str">
        <x:v>IT-взносы 15% / 7,6%</x:v>
      </x:c>
      <x:c r="C51" t="str">
        <x:v>ФНС</x:v>
      </x:c>
      <x:c r="D51" t="str">
        <x:v>03.10.2026</x:v>
      </x:c>
      <x:c r="E51" t="str">
        <x:v>Проверено</x:v>
      </x:c>
      <x:c r="F51" t="str">
        <x:v>https://www.nalog.gov.ru/new2026/</x:v>
      </x:c>
    </x:row>
    <x:row r="52">
      <x:c r="A52" t="str">
        <x:v>Сколково</x:v>
      </x:c>
      <x:c r="B52" t="str">
        <x:v>Налоговые льготы и effective dates</x:v>
      </x:c>
      <x:c r="C52" t="str">
        <x:v>Фонд Сколково</x:v>
      </x:c>
      <x:c r="D52" t="str">
        <x:v>03.10.2026</x:v>
      </x:c>
      <x:c r="E52" t="str">
        <x:v>Проверено</x:v>
      </x:c>
      <x:c r="F52" t="str">
        <x:v>https://sk.ru/tax-facilities/</x:v>
      </x:c>
    </x:row>
    <x:row r="53">
      <x:c r="A53" t="str">
        <x:v>Сколково</x:v>
      </x:c>
      <x:c r="B53" t="str">
        <x:v>Микрогранты: Стартап-МТК</x:v>
      </x:c>
      <x:c r="C53" t="str">
        <x:v>Сервисы Сколково</x:v>
      </x:c>
      <x:c r="D53" t="str">
        <x:v>03.10.2026</x:v>
      </x:c>
      <x:c r="E53" t="str">
        <x:v>Проверено</x:v>
      </x:c>
      <x:c r="F53" t="str">
        <x:v>https://services.sk.ru/service/1</x:v>
      </x:c>
    </x:row>
    <x:row r="54">
      <x:c r="A54" t="str">
        <x:v>ФСИ</x:v>
      </x:c>
      <x:c r="B54" t="str">
        <x:v>Старт-ЦТ / Старт-ИИ eligibility</x:v>
      </x:c>
      <x:c r="C54" t="str">
        <x:v>Фонд содействия инновациям</x:v>
      </x:c>
      <x:c r="D54" t="str">
        <x:v>03.10.2026</x:v>
      </x:c>
      <x:c r="E54" t="str">
        <x:v>Проверено</x:v>
      </x:c>
      <x:c r="F54" t="str">
        <x:v>https://fasie.ru/programs/programma-start/</x:v>
      </x:c>
    </x:row>
    <x:row r="55">
      <x:c r="A55" t="str">
        <x:v>МТК</x:v>
      </x:c>
      <x:c r="B55" t="str">
        <x:v>Высокотех 2026</x:v>
      </x:c>
      <x:c r="C55" t="str">
        <x:v>Корпорация МСП</x:v>
      </x:c>
      <x:c r="D55" t="str">
        <x:v>03.10.2026</x:v>
      </x:c>
      <x:c r="E55" t="str">
        <x:v>Проверено</x:v>
      </x:c>
      <x:c r="F55" t="str">
        <x:v>https://corpmsp.ru/about/press/news/novosti-korporatsii/malye-tekhnologicheskie-kompanii-poluchat-do-20-mlrd-rubley-lgotnogo-finansirovaniya-v-2026-godu/</x:v>
      </x:c>
    </x:row>
    <x:row r="56">
      <x:c r="A56" t="str">
        <x:v>IT льготы</x:v>
      </x:c>
      <x:c r="B56" t="str">
        <x:v>Налог на прибыль 5% в 2025–2030</x:v>
      </x:c>
      <x:c r="C56" t="str">
        <x:v>ФНС</x:v>
      </x:c>
      <x:c r="D56" t="str">
        <x:v>03.10.2026</x:v>
      </x:c>
      <x:c r="E56" t="str">
        <x:v>Проверено</x:v>
      </x:c>
      <x:c r="F56" t="str">
        <x:v>https://www.nalog.gov.ru/rn77/news/tax_doc_news/15578813/</x:v>
      </x:c>
    </x:row>
  </x:sheetData>
  <x:mergeCells>
    <x:mergeCell ref="A1:F1"/>
  </x:mergeCell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FormatPr defaultRowHeight="15"/>
  <x:cols>
    <x:col min="1" max="1" width="38" hidden="0" customWidth="1"/>
    <x:col min="2" max="2" width="12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  <x:col min="11" max="11" width="12" hidden="0" customWidth="1"/>
    <x:col min="12" max="12" width="12" hidden="0" customWidth="1"/>
    <x:col min="13" max="13" width="12" hidden="0" customWidth="1"/>
    <x:col min="14" max="14" width="12" hidden="0" customWidth="1"/>
    <x:col min="15" max="15" width="12" hidden="0" customWidth="1"/>
    <x:col min="16" max="16" width="12" hidden="0" customWidth="1"/>
    <x:col min="17" max="17" width="12" hidden="0" customWidth="1"/>
    <x:col min="18" max="18" width="12" hidden="0" customWidth="1"/>
    <x:col min="19" max="19" width="12" hidden="0" customWidth="1"/>
    <x:col min="20" max="20" width="12" hidden="0" customWidth="1"/>
    <x:col min="21" max="21" width="12" hidden="0" customWidth="1"/>
    <x:col min="22" max="22" width="12" hidden="0" customWidth="1"/>
    <x:col min="23" max="23" width="12" hidden="0" customWidth="1"/>
    <x:col min="24" max="24" width="12" hidden="0" customWidth="1"/>
    <x:col min="25" max="25" width="12" hidden="0" customWidth="1"/>
    <x:col min="26" max="26" width="12" hidden="0" customWidth="1"/>
    <x:col min="27" max="27" width="12" hidden="0" customWidth="1"/>
    <x:col min="28" max="28" width="12" hidden="0" customWidth="1"/>
    <x:col min="29" max="29" width="12" hidden="0" customWidth="1"/>
    <x:col min="30" max="30" width="12" hidden="0" customWidth="1"/>
    <x:col min="31" max="31" width="12" hidden="0" customWidth="1"/>
    <x:col min="32" max="32" width="12" hidden="0" customWidth="1"/>
    <x:col min="33" max="33" width="12" hidden="0" customWidth="1"/>
    <x:col min="34" max="34" width="12" hidden="0" customWidth="1"/>
    <x:col min="35" max="35" width="12" hidden="0" customWidth="1"/>
    <x:col min="36" max="36" width="12" hidden="0" customWidth="1"/>
    <x:col min="37" max="37" width="12" hidden="0" customWidth="1"/>
  </x:cols>
  <x:sheetData>
    <x:row r="1" ht="28" customHeight="1">
      <x:c r="A1" s="66" t="str">
        <x:v>QORSYS — отчёт о прибылях и убытках, 36 месяцев</x:v>
      </x:c>
      <x:c r="B1" s="66"/>
      <x:c r="C1" s="66"/>
      <x:c r="D1" s="66"/>
      <x:c r="E1" s="66"/>
      <x:c r="F1" s="66"/>
      <x:c r="G1" s="66"/>
      <x:c r="H1" s="66"/>
      <x:c r="I1" s="66"/>
      <x:c r="J1" s="66"/>
      <x:c r="K1" s="66"/>
      <x:c r="L1" s="66"/>
      <x:c r="M1" s="66"/>
      <x:c r="N1" s="66"/>
      <x:c r="O1" s="66"/>
      <x:c r="P1" s="66"/>
      <x:c r="Q1" s="66"/>
      <x:c r="R1" s="66"/>
      <x:c r="S1" s="66"/>
      <x:c r="T1" s="66"/>
      <x:c r="U1" s="66"/>
      <x:c r="V1" s="66"/>
      <x:c r="W1" s="66"/>
      <x:c r="X1" s="66"/>
      <x:c r="Y1" s="66"/>
      <x:c r="Z1" s="66"/>
      <x:c r="AA1" s="66"/>
      <x:c r="AB1" s="66"/>
      <x:c r="AC1" s="66"/>
      <x:c r="AD1" s="66"/>
      <x:c r="AE1" s="66"/>
      <x:c r="AF1" s="66"/>
      <x:c r="AG1" s="66"/>
      <x:c r="AH1" s="66"/>
      <x:c r="AI1" s="66"/>
      <x:c r="AJ1" s="66"/>
      <x:c r="AK1" s="66"/>
    </x:row>
    <x:row r="3" ht="26" customHeight="1">
      <x:c r="A3" s="69" t="str">
        <x:v>Показатель</x:v>
      </x:c>
      <x:c r="B3" s="76" t="str">
        <x:v>М1</x:v>
      </x:c>
      <x:c r="C3" s="76" t="str">
        <x:v>М2</x:v>
      </x:c>
      <x:c r="D3" s="76" t="str">
        <x:v>М3</x:v>
      </x:c>
      <x:c r="E3" s="76" t="str">
        <x:v>М4</x:v>
      </x:c>
      <x:c r="F3" s="76" t="str">
        <x:v>М5</x:v>
      </x:c>
      <x:c r="G3" s="76" t="str">
        <x:v>М6</x:v>
      </x:c>
      <x:c r="H3" s="76" t="str">
        <x:v>М7</x:v>
      </x:c>
      <x:c r="I3" s="76" t="str">
        <x:v>М8</x:v>
      </x:c>
      <x:c r="J3" s="76" t="str">
        <x:v>М9</x:v>
      </x:c>
      <x:c r="K3" s="76" t="str">
        <x:v>М10</x:v>
      </x:c>
      <x:c r="L3" s="76" t="str">
        <x:v>М11</x:v>
      </x:c>
      <x:c r="M3" s="76" t="str">
        <x:v>М12</x:v>
      </x:c>
      <x:c r="N3" s="76" t="str">
        <x:v>М13</x:v>
      </x:c>
      <x:c r="O3" s="76" t="str">
        <x:v>М14</x:v>
      </x:c>
      <x:c r="P3" s="76" t="str">
        <x:v>М15</x:v>
      </x:c>
      <x:c r="Q3" s="76" t="str">
        <x:v>М16</x:v>
      </x:c>
      <x:c r="R3" s="76" t="str">
        <x:v>М17</x:v>
      </x:c>
      <x:c r="S3" s="76" t="str">
        <x:v>М18</x:v>
      </x:c>
      <x:c r="T3" s="76" t="str">
        <x:v>М19</x:v>
      </x:c>
      <x:c r="U3" s="76" t="str">
        <x:v>М20</x:v>
      </x:c>
      <x:c r="V3" s="76" t="str">
        <x:v>М21</x:v>
      </x:c>
      <x:c r="W3" s="76" t="str">
        <x:v>М22</x:v>
      </x:c>
      <x:c r="X3" s="76" t="str">
        <x:v>М23</x:v>
      </x:c>
      <x:c r="Y3" s="76" t="str">
        <x:v>М24</x:v>
      </x:c>
      <x:c r="Z3" s="76" t="str">
        <x:v>М25</x:v>
      </x:c>
      <x:c r="AA3" s="76" t="str">
        <x:v>М26</x:v>
      </x:c>
      <x:c r="AB3" s="76" t="str">
        <x:v>М27</x:v>
      </x:c>
      <x:c r="AC3" s="76" t="str">
        <x:v>М28</x:v>
      </x:c>
      <x:c r="AD3" s="76" t="str">
        <x:v>М29</x:v>
      </x:c>
      <x:c r="AE3" s="76" t="str">
        <x:v>М30</x:v>
      </x:c>
      <x:c r="AF3" s="76" t="str">
        <x:v>М31</x:v>
      </x:c>
      <x:c r="AG3" s="76" t="str">
        <x:v>М32</x:v>
      </x:c>
      <x:c r="AH3" s="76" t="str">
        <x:v>М33</x:v>
      </x:c>
      <x:c r="AI3" s="76" t="str">
        <x:v>М34</x:v>
      </x:c>
      <x:c r="AJ3" s="76" t="str">
        <x:v>М35</x:v>
      </x:c>
      <x:c r="AK3" s="76" t="str">
        <x:v>М36</x:v>
      </x:c>
    </x:row>
    <x:row r="4">
      <x:c r="A4" s="82" t="str">
        <x:v>ВЫРУЧКА</x:v>
      </x:c>
      <x:c r="B4" s="77"/>
      <x:c r="C4" s="77"/>
      <x:c r="D4" s="77"/>
      <x:c r="E4" s="77"/>
      <x:c r="F4" s="77"/>
      <x:c r="G4" s="77"/>
      <x:c r="H4" s="77"/>
      <x:c r="I4" s="77"/>
      <x:c r="J4" s="77"/>
      <x:c r="K4" s="77"/>
      <x:c r="L4" s="77"/>
      <x:c r="M4" s="77"/>
      <x:c r="N4" s="77"/>
      <x:c r="O4" s="77"/>
      <x:c r="P4" s="77"/>
      <x:c r="Q4" s="77"/>
      <x:c r="R4" s="77"/>
      <x:c r="S4" s="77"/>
      <x:c r="T4" s="77"/>
      <x:c r="U4" s="77"/>
      <x:c r="V4" s="77"/>
      <x:c r="W4" s="77"/>
      <x:c r="X4" s="77"/>
      <x:c r="Y4" s="77"/>
      <x:c r="Z4" s="77"/>
      <x:c r="AA4" s="77"/>
      <x:c r="AB4" s="77"/>
      <x:c r="AC4" s="77"/>
      <x:c r="AD4" s="77"/>
      <x:c r="AE4" s="77"/>
      <x:c r="AF4" s="77"/>
      <x:c r="AG4" s="77"/>
      <x:c r="AH4" s="77"/>
      <x:c r="AI4" s="77"/>
      <x:c r="AJ4" s="77"/>
      <x:c r="AK4" s="77"/>
    </x:row>
    <x:row r="5">
      <x:c r="A5" s="83" t="str">
        <x:v>Лицензии Ядра QORSYS</x:v>
      </x:c>
      <x:c r="B5" s="78" t="n">
        <x:f>'Модель 36м'!B12</x:f>
        <x:v>0</x:v>
      </x:c>
      <x:c r="C5" s="78" t="n">
        <x:f>'Модель 36м'!C12</x:f>
        <x:v>220000.00000000003</x:v>
      </x:c>
      <x:c r="D5" s="78" t="n">
        <x:f>'Модель 36м'!D12</x:f>
        <x:v>547800.0000000001</x:v>
      </x:c>
      <x:c r="E5" s="78" t="n">
        <x:f>'Модель 36м'!E12</x:f>
        <x:v>872322.0000000001</x:v>
      </x:c>
      <x:c r="F5" s="78" t="n">
        <x:f>'Модель 36м'!F12</x:f>
        <x:v>1303598.7800000003</x:v>
      </x:c>
      <x:c r="G5" s="78" t="n">
        <x:f>'Модель 36м'!G12</x:f>
        <x:v>1730562.7922000003</x:v>
      </x:c>
      <x:c r="H5" s="78" t="n">
        <x:f>'Модель 36м'!H12</x:f>
        <x:v>2153257.164278</x:v>
      </x:c>
      <x:c r="I5" s="78" t="n">
        <x:f>'Модель 36м'!I12</x:f>
        <x:v>2681724.59263522</x:v>
      </x:c>
      <x:c r="J5" s="78" t="n">
        <x:f>'Модель 36м'!J12</x:f>
        <x:v>3204907.3467088677</x:v>
      </x:c>
      <x:c r="K5" s="78" t="n">
        <x:f>'Модель 36м'!K12</x:f>
        <x:v>3722858.2732417793</x:v>
      </x:c>
      <x:c r="L5" s="78" t="n">
        <x:f>'Модель 36м'!L12</x:f>
        <x:v>4235629.690509362</x:v>
      </x:c>
      <x:c r="M5" s="78" t="n">
        <x:f>'Модель 36м'!M12</x:f>
        <x:v>4743273.393604268</x:v>
      </x:c>
      <x:c r="N5" s="78" t="n">
        <x:f>'Модель 36м'!N12</x:f>
        <x:v>5245840.659668226</x:v>
      </x:c>
      <x:c r="O5" s="78" t="n">
        <x:f>'Модель 36м'!O12</x:f>
        <x:v>5853382.253071544</x:v>
      </x:c>
      <x:c r="P5" s="78" t="n">
        <x:f>'Модель 36м'!P12</x:f>
        <x:v>6454848.430540829</x:v>
      </x:c>
      <x:c r="Q5" s="78" t="n">
        <x:f>'Модель 36м'!Q12</x:f>
        <x:v>7050299.94623542</x:v>
      </x:c>
      <x:c r="R5" s="78" t="n">
        <x:f>'Модель 36м'!R12</x:f>
        <x:v>7639796.946773066</x:v>
      </x:c>
      <x:c r="S5" s="78" t="n">
        <x:f>'Модель 36м'!S12</x:f>
        <x:v>8223398.977305337</x:v>
      </x:c>
      <x:c r="T5" s="78" t="n">
        <x:f>'Модель 36м'!T12</x:f>
        <x:v>8801164.987532284</x:v>
      </x:c>
      <x:c r="U5" s="78" t="n">
        <x:f>'Модель 36м'!U12</x:f>
        <x:v>9373153.33765696</x:v>
      </x:c>
      <x:c r="V5" s="78" t="n">
        <x:f>'Модель 36м'!V12</x:f>
        <x:v>9939421.804280391</x:v>
      </x:c>
      <x:c r="W5" s="78" t="n">
        <x:f>'Модель 36м'!W12</x:f>
        <x:v>10500027.586237587</x:v>
      </x:c>
      <x:c r="X5" s="78" t="n">
        <x:f>'Модель 36м'!X12</x:f>
        <x:v>11055027.310375212</x:v>
      </x:c>
      <x:c r="Y5" s="78" t="n">
        <x:f>'Модель 36м'!Y12</x:f>
        <x:v>11604477.03727146</x:v>
      </x:c>
      <x:c r="Z5" s="78" t="n">
        <x:f>'Модель 36м'!Z12</x:f>
        <x:v>12148432.266898744</x:v>
      </x:c>
      <x:c r="AA5" s="78" t="n">
        <x:f>'Модель 36м'!AA12</x:f>
        <x:v>13126947.944229757</x:v>
      </x:c>
      <x:c r="AB5" s="78" t="n">
        <x:f>'Модель 36м'!AB12</x:f>
        <x:v>14095678.464787459</x:v>
      </x:c>
      <x:c r="AC5" s="78" t="n">
        <x:f>'Модель 36м'!AC12</x:f>
        <x:v>15054721.680139584</x:v>
      </x:c>
      <x:c r="AD5" s="78" t="n">
        <x:f>'Модель 36м'!AD12</x:f>
        <x:v>16004174.463338189</x:v>
      </x:c>
      <x:c r="AE5" s="78" t="n">
        <x:f>'Модель 36м'!AE12</x:f>
        <x:v>16944132.71870481</x:v>
      </x:c>
      <x:c r="AF5" s="78" t="n">
        <x:f>'Модель 36м'!AF12</x:f>
        <x:v>17874691.391517762</x:v>
      </x:c>
      <x:c r="AG5" s="78" t="n">
        <x:f>'Модель 36м'!AG12</x:f>
        <x:v>18795944.477602586</x:v>
      </x:c>
      <x:c r="AH5" s="78" t="n">
        <x:f>'Модель 36м'!AH12</x:f>
        <x:v>19707985.03282656</x:v>
      </x:c>
      <x:c r="AI5" s="78" t="n">
        <x:f>'Модель 36м'!AI12</x:f>
        <x:v>20610905.182498295</x:v>
      </x:c>
      <x:c r="AJ5" s="78" t="n">
        <x:f>'Модель 36м'!AJ12</x:f>
        <x:v>21504796.130673315</x:v>
      </x:c>
      <x:c r="AK5" s="78" t="n">
        <x:f>'Модель 36м'!AK12</x:f>
        <x:v>22389748.169366583</x:v>
      </x:c>
    </x:row>
    <x:row r="6">
      <x:c r="A6" s="83" t="str">
        <x:v>Оптимизации</x:v>
      </x:c>
      <x:c r="B6" s="78" t="n">
        <x:f>'Модель 36м'!B15</x:f>
        <x:v>1650000.0000000002</x:v>
      </x:c>
      <x:c r="C6" s="78" t="n">
        <x:f>'Модель 36м'!C15</x:f>
        <x:v>2475000</x:v>
      </x:c>
      <x:c r="D6" s="78" t="n">
        <x:f>'Модель 36м'!D15</x:f>
        <x:v>2475000</x:v>
      </x:c>
      <x:c r="E6" s="78" t="n">
        <x:f>'Модель 36м'!E15</x:f>
        <x:v>3300000.0000000005</x:v>
      </x:c>
      <x:c r="F6" s="78" t="n">
        <x:f>'Модель 36м'!F15</x:f>
        <x:v>3300000.0000000005</x:v>
      </x:c>
      <x:c r="G6" s="78" t="n">
        <x:f>'Модель 36м'!G15</x:f>
        <x:v>3300000.0000000005</x:v>
      </x:c>
      <x:c r="H6" s="78" t="n">
        <x:f>'Модель 36м'!H15</x:f>
        <x:v>4125000</x:v>
      </x:c>
      <x:c r="I6" s="78" t="n">
        <x:f>'Модель 36м'!I15</x:f>
        <x:v>4125000</x:v>
      </x:c>
      <x:c r="J6" s="78" t="n">
        <x:f>'Модель 36м'!J15</x:f>
        <x:v>4125000</x:v>
      </x:c>
      <x:c r="K6" s="78" t="n">
        <x:f>'Модель 36м'!K15</x:f>
        <x:v>4125000</x:v>
      </x:c>
      <x:c r="L6" s="78" t="n">
        <x:f>'Модель 36м'!L15</x:f>
        <x:v>4125000</x:v>
      </x:c>
      <x:c r="M6" s="78" t="n">
        <x:f>'Модель 36м'!M15</x:f>
        <x:v>4125000</x:v>
      </x:c>
      <x:c r="N6" s="78" t="n">
        <x:f>'Модель 36м'!N15</x:f>
        <x:v>4950000</x:v>
      </x:c>
      <x:c r="O6" s="78" t="n">
        <x:f>'Модель 36м'!O15</x:f>
        <x:v>4950000</x:v>
      </x:c>
      <x:c r="P6" s="78" t="n">
        <x:f>'Модель 36м'!P15</x:f>
        <x:v>4950000</x:v>
      </x:c>
      <x:c r="Q6" s="78" t="n">
        <x:f>'Модель 36м'!Q15</x:f>
        <x:v>4950000</x:v>
      </x:c>
      <x:c r="R6" s="78" t="n">
        <x:f>'Модель 36м'!R15</x:f>
        <x:v>4950000</x:v>
      </x:c>
      <x:c r="S6" s="78" t="n">
        <x:f>'Модель 36м'!S15</x:f>
        <x:v>4950000</x:v>
      </x:c>
      <x:c r="T6" s="78" t="n">
        <x:f>'Модель 36м'!T15</x:f>
        <x:v>4950000</x:v>
      </x:c>
      <x:c r="U6" s="78" t="n">
        <x:f>'Модель 36м'!U15</x:f>
        <x:v>4950000</x:v>
      </x:c>
      <x:c r="V6" s="78" t="n">
        <x:f>'Модель 36м'!V15</x:f>
        <x:v>4950000</x:v>
      </x:c>
      <x:c r="W6" s="78" t="n">
        <x:f>'Модель 36м'!W15</x:f>
        <x:v>4950000</x:v>
      </x:c>
      <x:c r="X6" s="78" t="n">
        <x:f>'Модель 36м'!X15</x:f>
        <x:v>4950000</x:v>
      </x:c>
      <x:c r="Y6" s="78" t="n">
        <x:f>'Модель 36м'!Y15</x:f>
        <x:v>4950000</x:v>
      </x:c>
      <x:c r="Z6" s="78" t="n">
        <x:f>'Модель 36м'!Z15</x:f>
        <x:v>8250000</x:v>
      </x:c>
      <x:c r="AA6" s="78" t="n">
        <x:f>'Модель 36м'!AA15</x:f>
        <x:v>8250000</x:v>
      </x:c>
      <x:c r="AB6" s="78" t="n">
        <x:f>'Модель 36м'!AB15</x:f>
        <x:v>8250000</x:v>
      </x:c>
      <x:c r="AC6" s="78" t="n">
        <x:f>'Модель 36м'!AC15</x:f>
        <x:v>8250000</x:v>
      </x:c>
      <x:c r="AD6" s="78" t="n">
        <x:f>'Модель 36м'!AD15</x:f>
        <x:v>8250000</x:v>
      </x:c>
      <x:c r="AE6" s="78" t="n">
        <x:f>'Модель 36м'!AE15</x:f>
        <x:v>8250000</x:v>
      </x:c>
      <x:c r="AF6" s="78" t="n">
        <x:f>'Модель 36м'!AF15</x:f>
        <x:v>8250000</x:v>
      </x:c>
      <x:c r="AG6" s="78" t="n">
        <x:f>'Модель 36м'!AG15</x:f>
        <x:v>8250000</x:v>
      </x:c>
      <x:c r="AH6" s="78" t="n">
        <x:f>'Модель 36м'!AH15</x:f>
        <x:v>8250000</x:v>
      </x:c>
      <x:c r="AI6" s="78" t="n">
        <x:f>'Модель 36м'!AI15</x:f>
        <x:v>8250000</x:v>
      </x:c>
      <x:c r="AJ6" s="78" t="n">
        <x:f>'Модель 36м'!AJ15</x:f>
        <x:v>8250000</x:v>
      </x:c>
      <x:c r="AK6" s="78" t="n">
        <x:f>'Модель 36м'!AK15</x:f>
        <x:v>8250000</x:v>
      </x:c>
    </x:row>
    <x:row r="7">
      <x:c r="A7" s="83" t="str">
        <x:v>Вознаграждение за эффект</x:v>
      </x:c>
      <x:c r="B7" s="78" t="n">
        <x:f>'Модель 36м'!B16</x:f>
        <x:v>0</x:v>
      </x:c>
      <x:c r="C7" s="78" t="n">
        <x:f>'Модель 36м'!C16</x:f>
        <x:v>0</x:v>
      </x:c>
      <x:c r="D7" s="78" t="n">
        <x:f>'Модель 36м'!D16</x:f>
        <x:v>0</x:v>
      </x:c>
      <x:c r="E7" s="78" t="n">
        <x:f>'Модель 36м'!E16</x:f>
        <x:v>0</x:v>
      </x:c>
      <x:c r="F7" s="78" t="n">
        <x:f>'Модель 36м'!F16</x:f>
        <x:v>0</x:v>
      </x:c>
      <x:c r="G7" s="78" t="n">
        <x:f>'Модель 36м'!G16</x:f>
        <x:v>0</x:v>
      </x:c>
      <x:c r="H7" s="78" t="n">
        <x:f>'Модель 36м'!H16</x:f>
        <x:v>0</x:v>
      </x:c>
      <x:c r="I7" s="78" t="n">
        <x:f>'Модель 36м'!I16</x:f>
        <x:v>0</x:v>
      </x:c>
      <x:c r="J7" s="78" t="n">
        <x:f>'Модель 36м'!J16</x:f>
        <x:v>0</x:v>
      </x:c>
      <x:c r="K7" s="78" t="n">
        <x:f>'Модель 36м'!K16</x:f>
        <x:v>0</x:v>
      </x:c>
      <x:c r="L7" s="78" t="n">
        <x:f>'Модель 36м'!L16</x:f>
        <x:v>0</x:v>
      </x:c>
      <x:c r="M7" s="78" t="n">
        <x:f>'Модель 36м'!M16</x:f>
        <x:v>0</x:v>
      </x:c>
      <x:c r="N7" s="78" t="n">
        <x:f>'Модель 36м'!N16</x:f>
        <x:v>0</x:v>
      </x:c>
      <x:c r="O7" s="78" t="n">
        <x:f>'Модель 36м'!O16</x:f>
        <x:v>0</x:v>
      </x:c>
      <x:c r="P7" s="78" t="n">
        <x:f>'Модель 36м'!P16</x:f>
        <x:v>0</x:v>
      </x:c>
      <x:c r="Q7" s="78" t="n">
        <x:f>'Модель 36м'!Q16</x:f>
        <x:v>0</x:v>
      </x:c>
      <x:c r="R7" s="78" t="n">
        <x:f>'Модель 36м'!R16</x:f>
        <x:v>0</x:v>
      </x:c>
      <x:c r="S7" s="78" t="n">
        <x:f>'Модель 36м'!S16</x:f>
        <x:v>0</x:v>
      </x:c>
      <x:c r="T7" s="78" t="n">
        <x:f>'Модель 36м'!T16</x:f>
        <x:v>0</x:v>
      </x:c>
      <x:c r="U7" s="78" t="n">
        <x:f>'Модель 36м'!U16</x:f>
        <x:v>0</x:v>
      </x:c>
      <x:c r="V7" s="78" t="n">
        <x:f>'Модель 36м'!V16</x:f>
        <x:v>0</x:v>
      </x:c>
      <x:c r="W7" s="78" t="n">
        <x:f>'Модель 36м'!W16</x:f>
        <x:v>0</x:v>
      </x:c>
      <x:c r="X7" s="78" t="n">
        <x:f>'Модель 36м'!X16</x:f>
        <x:v>0</x:v>
      </x:c>
      <x:c r="Y7" s="78" t="n">
        <x:f>'Модель 36м'!Y16</x:f>
        <x:v>0</x:v>
      </x:c>
      <x:c r="Z7" s="78" t="n">
        <x:f>'Модель 36м'!Z16</x:f>
        <x:v>0</x:v>
      </x:c>
      <x:c r="AA7" s="78" t="n">
        <x:f>'Модель 36м'!AA16</x:f>
        <x:v>0</x:v>
      </x:c>
      <x:c r="AB7" s="78" t="n">
        <x:f>'Модель 36м'!AB16</x:f>
        <x:v>0</x:v>
      </x:c>
      <x:c r="AC7" s="78" t="n">
        <x:f>'Модель 36м'!AC16</x:f>
        <x:v>0</x:v>
      </x:c>
      <x:c r="AD7" s="78" t="n">
        <x:f>'Модель 36м'!AD16</x:f>
        <x:v>0</x:v>
      </x:c>
      <x:c r="AE7" s="78" t="n">
        <x:f>'Модель 36м'!AE16</x:f>
        <x:v>0</x:v>
      </x:c>
      <x:c r="AF7" s="78" t="n">
        <x:f>'Модель 36м'!AF16</x:f>
        <x:v>0</x:v>
      </x:c>
      <x:c r="AG7" s="78" t="n">
        <x:f>'Модель 36м'!AG16</x:f>
        <x:v>0</x:v>
      </x:c>
      <x:c r="AH7" s="78" t="n">
        <x:f>'Модель 36м'!AH16</x:f>
        <x:v>0</x:v>
      </x:c>
      <x:c r="AI7" s="78" t="n">
        <x:f>'Модель 36м'!AI16</x:f>
        <x:v>0</x:v>
      </x:c>
      <x:c r="AJ7" s="78" t="n">
        <x:f>'Модель 36м'!AJ16</x:f>
        <x:v>0</x:v>
      </x:c>
      <x:c r="AK7" s="78" t="n">
        <x:f>'Модель 36м'!AK16</x:f>
        <x:v>0</x:v>
      </x:c>
    </x:row>
    <x:row r="8">
      <x:c r="A8" s="83" t="str">
        <x:v>Модули</x:v>
      </x:c>
      <x:c r="B8" s="78" t="n">
        <x:f>'Модель 36м'!B17</x:f>
        <x:v>0</x:v>
      </x:c>
      <x:c r="C8" s="78" t="n">
        <x:f>'Модель 36м'!C17</x:f>
        <x:v>0</x:v>
      </x:c>
      <x:c r="D8" s="78" t="n">
        <x:f>'Модель 36м'!D17</x:f>
        <x:v>0</x:v>
      </x:c>
      <x:c r="E8" s="78" t="n">
        <x:f>'Модель 36м'!E17</x:f>
        <x:v>0</x:v>
      </x:c>
      <x:c r="F8" s="78" t="n">
        <x:f>'Модель 36м'!F17</x:f>
        <x:v>0</x:v>
      </x:c>
      <x:c r="G8" s="78" t="n">
        <x:f>'Модель 36м'!G17</x:f>
        <x:v>0</x:v>
      </x:c>
      <x:c r="H8" s="78" t="n">
        <x:f>'Модель 36м'!H17</x:f>
        <x:v>0</x:v>
      </x:c>
      <x:c r="I8" s="78" t="n">
        <x:f>'Модель 36м'!I17</x:f>
        <x:v>0</x:v>
      </x:c>
      <x:c r="J8" s="78" t="n">
        <x:f>'Модель 36м'!J17</x:f>
        <x:v>0</x:v>
      </x:c>
      <x:c r="K8" s="78" t="n">
        <x:f>'Модель 36м'!K17</x:f>
        <x:v>0</x:v>
      </x:c>
      <x:c r="L8" s="78" t="n">
        <x:f>'Модель 36м'!L17</x:f>
        <x:v>0</x:v>
      </x:c>
      <x:c r="M8" s="78" t="n">
        <x:f>'Модель 36м'!M17</x:f>
        <x:v>0</x:v>
      </x:c>
      <x:c r="N8" s="78" t="n">
        <x:f>'Модель 36м'!N17</x:f>
        <x:v>0</x:v>
      </x:c>
      <x:c r="O8" s="78" t="n">
        <x:f>'Модель 36м'!O17</x:f>
        <x:v>0</x:v>
      </x:c>
      <x:c r="P8" s="78" t="n">
        <x:f>'Модель 36м'!P17</x:f>
        <x:v>0</x:v>
      </x:c>
      <x:c r="Q8" s="78" t="n">
        <x:f>'Модель 36м'!Q17</x:f>
        <x:v>0</x:v>
      </x:c>
      <x:c r="R8" s="78" t="n">
        <x:f>'Модель 36м'!R17</x:f>
        <x:v>0</x:v>
      </x:c>
      <x:c r="S8" s="78" t="n">
        <x:f>'Модель 36м'!S17</x:f>
        <x:v>0</x:v>
      </x:c>
      <x:c r="T8" s="78" t="n">
        <x:f>'Модель 36м'!T17</x:f>
        <x:v>0</x:v>
      </x:c>
      <x:c r="U8" s="78" t="n">
        <x:f>'Модель 36м'!U17</x:f>
        <x:v>0</x:v>
      </x:c>
      <x:c r="V8" s="78" t="n">
        <x:f>'Модель 36м'!V17</x:f>
        <x:v>0</x:v>
      </x:c>
      <x:c r="W8" s="78" t="n">
        <x:f>'Модель 36м'!W17</x:f>
        <x:v>0</x:v>
      </x:c>
      <x:c r="X8" s="78" t="n">
        <x:f>'Модель 36м'!X17</x:f>
        <x:v>0</x:v>
      </x:c>
      <x:c r="Y8" s="78" t="n">
        <x:f>'Модель 36м'!Y17</x:f>
        <x:v>0</x:v>
      </x:c>
      <x:c r="Z8" s="78" t="n">
        <x:f>'Модель 36м'!Z17</x:f>
        <x:v>0</x:v>
      </x:c>
      <x:c r="AA8" s="78" t="n">
        <x:f>'Модель 36м'!AA17</x:f>
        <x:v>0</x:v>
      </x:c>
      <x:c r="AB8" s="78" t="n">
        <x:f>'Модель 36м'!AB17</x:f>
        <x:v>0</x:v>
      </x:c>
      <x:c r="AC8" s="78" t="n">
        <x:f>'Модель 36м'!AC17</x:f>
        <x:v>0</x:v>
      </x:c>
      <x:c r="AD8" s="78" t="n">
        <x:f>'Модель 36м'!AD17</x:f>
        <x:v>0</x:v>
      </x:c>
      <x:c r="AE8" s="78" t="n">
        <x:f>'Модель 36м'!AE17</x:f>
        <x:v>0</x:v>
      </x:c>
      <x:c r="AF8" s="78" t="n">
        <x:f>'Модель 36м'!AF17</x:f>
        <x:v>0</x:v>
      </x:c>
      <x:c r="AG8" s="78" t="n">
        <x:f>'Модель 36м'!AG17</x:f>
        <x:v>0</x:v>
      </x:c>
      <x:c r="AH8" s="78" t="n">
        <x:f>'Модель 36м'!AH17</x:f>
        <x:v>0</x:v>
      </x:c>
      <x:c r="AI8" s="78" t="n">
        <x:f>'Модель 36м'!AI17</x:f>
        <x:v>0</x:v>
      </x:c>
      <x:c r="AJ8" s="78" t="n">
        <x:f>'Модель 36м'!AJ17</x:f>
        <x:v>0</x:v>
      </x:c>
      <x:c r="AK8" s="78" t="n">
        <x:f>'Модель 36м'!AK17</x:f>
        <x:v>0</x:v>
      </x:c>
    </x:row>
    <x:row r="9">
      <x:c r="A9" s="84" t="str">
        <x:v>Итого выручка</x:v>
      </x:c>
      <x:c r="B9" s="79" t="n">
        <x:f>SUM(B5:B8)</x:f>
        <x:v>1650000.0000000002</x:v>
      </x:c>
      <x:c r="C9" s="79" t="n">
        <x:f>SUM(C5:C8)</x:f>
        <x:v>2695000</x:v>
      </x:c>
      <x:c r="D9" s="79" t="n">
        <x:f>SUM(D5:D8)</x:f>
        <x:v>3022800</x:v>
      </x:c>
      <x:c r="E9" s="79" t="n">
        <x:f>SUM(E5:E8)</x:f>
        <x:v>4172322.0000000005</x:v>
      </x:c>
      <x:c r="F9" s="79" t="n">
        <x:f>SUM(F5:F8)</x:f>
        <x:v>4603598.780000001</x:v>
      </x:c>
      <x:c r="G9" s="79" t="n">
        <x:f>SUM(G5:G8)</x:f>
        <x:v>5030562.792200001</x:v>
      </x:c>
      <x:c r="H9" s="79" t="n">
        <x:f>SUM(H5:H8)</x:f>
        <x:v>6278257.164278001</x:v>
      </x:c>
      <x:c r="I9" s="79" t="n">
        <x:f>SUM(I5:I8)</x:f>
        <x:v>6806724.59263522</x:v>
      </x:c>
      <x:c r="J9" s="79" t="n">
        <x:f>SUM(J5:J8)</x:f>
        <x:v>7329907.346708868</x:v>
      </x:c>
      <x:c r="K9" s="79" t="n">
        <x:f>SUM(K5:K8)</x:f>
        <x:v>7847858.273241779</x:v>
      </x:c>
      <x:c r="L9" s="79" t="n">
        <x:f>SUM(L5:L8)</x:f>
        <x:v>8360629.690509362</x:v>
      </x:c>
      <x:c r="M9" s="79" t="n">
        <x:f>SUM(M5:M8)</x:f>
        <x:v>8868273.393604267</x:v>
      </x:c>
      <x:c r="N9" s="79" t="n">
        <x:f>SUM(N5:N8)</x:f>
        <x:v>10195840.659668226</x:v>
      </x:c>
      <x:c r="O9" s="79" t="n">
        <x:f>SUM(O5:O8)</x:f>
        <x:v>10803382.253071543</x:v>
      </x:c>
      <x:c r="P9" s="79" t="n">
        <x:f>SUM(P5:P8)</x:f>
        <x:v>11404848.43054083</x:v>
      </x:c>
      <x:c r="Q9" s="79" t="n">
        <x:f>SUM(Q5:Q8)</x:f>
        <x:v>12000299.94623542</x:v>
      </x:c>
      <x:c r="R9" s="79" t="n">
        <x:f>SUM(R5:R8)</x:f>
        <x:v>12589796.946773067</x:v>
      </x:c>
      <x:c r="S9" s="79" t="n">
        <x:f>SUM(S5:S8)</x:f>
        <x:v>13173398.977305338</x:v>
      </x:c>
      <x:c r="T9" s="79" t="n">
        <x:f>SUM(T5:T8)</x:f>
        <x:v>13751164.987532284</x:v>
      </x:c>
      <x:c r="U9" s="79" t="n">
        <x:f>SUM(U5:U8)</x:f>
        <x:v>14323153.33765696</x:v>
      </x:c>
      <x:c r="V9" s="79" t="n">
        <x:f>SUM(V5:V8)</x:f>
        <x:v>14889421.804280391</x:v>
      </x:c>
      <x:c r="W9" s="79" t="n">
        <x:f>SUM(W5:W8)</x:f>
        <x:v>15450027.586237587</x:v>
      </x:c>
      <x:c r="X9" s="79" t="n">
        <x:f>SUM(X5:X8)</x:f>
        <x:v>16005027.310375212</x:v>
      </x:c>
      <x:c r="Y9" s="79" t="n">
        <x:f>SUM(Y5:Y8)</x:f>
        <x:v>16554477.03727146</x:v>
      </x:c>
      <x:c r="Z9" s="79" t="n">
        <x:f>SUM(Z5:Z8)</x:f>
        <x:v>20398432.266898744</x:v>
      </x:c>
      <x:c r="AA9" s="79" t="n">
        <x:f>SUM(AA5:AA8)</x:f>
        <x:v>21376947.94422976</x:v>
      </x:c>
      <x:c r="AB9" s="79" t="n">
        <x:f>SUM(AB5:AB8)</x:f>
        <x:v>22345678.46478746</x:v>
      </x:c>
      <x:c r="AC9" s="79" t="n">
        <x:f>SUM(AC5:AC8)</x:f>
        <x:v>23304721.680139586</x:v>
      </x:c>
      <x:c r="AD9" s="79" t="n">
        <x:f>SUM(AD5:AD8)</x:f>
        <x:v>24254174.46333819</x:v>
      </x:c>
      <x:c r="AE9" s="79" t="n">
        <x:f>SUM(AE5:AE8)</x:f>
        <x:v>25194132.71870481</x:v>
      </x:c>
      <x:c r="AF9" s="79" t="n">
        <x:f>SUM(AF5:AF8)</x:f>
        <x:v>26124691.391517762</x:v>
      </x:c>
      <x:c r="AG9" s="79" t="n">
        <x:f>SUM(AG5:AG8)</x:f>
        <x:v>27045944.477602586</x:v>
      </x:c>
      <x:c r="AH9" s="79" t="n">
        <x:f>SUM(AH5:AH8)</x:f>
        <x:v>27957985.03282656</x:v>
      </x:c>
      <x:c r="AI9" s="79" t="n">
        <x:f>SUM(AI5:AI8)</x:f>
        <x:v>28860905.182498295</x:v>
      </x:c>
      <x:c r="AJ9" s="79" t="n">
        <x:f>SUM(AJ5:AJ8)</x:f>
        <x:v>29754796.130673315</x:v>
      </x:c>
      <x:c r="AK9" s="79" t="n">
        <x:f>SUM(AK5:AK8)</x:f>
        <x:v>30639748.169366583</x:v>
      </x:c>
    </x:row>
    <x:row r="10">
      <x:c r="A10" s="83" t="str"/>
      <x:c r="B10" s="80"/>
      <x:c r="C10" s="80"/>
      <x:c r="D10" s="80"/>
      <x:c r="E10" s="80"/>
      <x:c r="F10" s="80"/>
      <x:c r="G10" s="80"/>
      <x:c r="H10" s="80"/>
      <x:c r="I10" s="80"/>
      <x:c r="J10" s="80"/>
      <x:c r="K10" s="80"/>
      <x:c r="L10" s="80"/>
      <x:c r="M10" s="80"/>
      <x:c r="N10" s="80"/>
      <x:c r="O10" s="80"/>
      <x:c r="P10" s="80"/>
      <x:c r="Q10" s="80"/>
      <x:c r="R10" s="80"/>
      <x:c r="S10" s="80"/>
      <x:c r="T10" s="80"/>
      <x:c r="U10" s="80"/>
      <x:c r="V10" s="80"/>
      <x:c r="W10" s="80"/>
      <x:c r="X10" s="80"/>
      <x:c r="Y10" s="80"/>
      <x:c r="Z10" s="80"/>
      <x:c r="AA10" s="80"/>
      <x:c r="AB10" s="80"/>
      <x:c r="AC10" s="80"/>
      <x:c r="AD10" s="80"/>
      <x:c r="AE10" s="80"/>
      <x:c r="AF10" s="80"/>
      <x:c r="AG10" s="80"/>
      <x:c r="AH10" s="80"/>
      <x:c r="AI10" s="80"/>
      <x:c r="AJ10" s="80"/>
      <x:c r="AK10" s="80"/>
    </x:row>
    <x:row r="11">
      <x:c r="A11" s="82" t="str">
        <x:v>СЕБЕСТОИМОСТЬ</x:v>
      </x:c>
      <x:c r="B11" s="77"/>
      <x:c r="C11" s="77"/>
      <x:c r="D11" s="77"/>
      <x:c r="E11" s="77"/>
      <x:c r="F11" s="77"/>
      <x:c r="G11" s="77"/>
      <x:c r="H11" s="77"/>
      <x:c r="I11" s="77"/>
      <x:c r="J11" s="77"/>
      <x:c r="K11" s="77"/>
      <x:c r="L11" s="77"/>
      <x:c r="M11" s="77"/>
      <x:c r="N11" s="77"/>
      <x:c r="O11" s="77"/>
      <x:c r="P11" s="77"/>
      <x:c r="Q11" s="77"/>
      <x:c r="R11" s="77"/>
      <x:c r="S11" s="77"/>
      <x:c r="T11" s="77"/>
      <x:c r="U11" s="77"/>
      <x:c r="V11" s="77"/>
      <x:c r="W11" s="77"/>
      <x:c r="X11" s="77"/>
      <x:c r="Y11" s="77"/>
      <x:c r="Z11" s="77"/>
      <x:c r="AA11" s="77"/>
      <x:c r="AB11" s="77"/>
      <x:c r="AC11" s="77"/>
      <x:c r="AD11" s="77"/>
      <x:c r="AE11" s="77"/>
      <x:c r="AF11" s="77"/>
      <x:c r="AG11" s="77"/>
      <x:c r="AH11" s="77"/>
      <x:c r="AI11" s="77"/>
      <x:c r="AJ11" s="77"/>
      <x:c r="AK11" s="77"/>
    </x:row>
    <x:row r="12">
      <x:c r="A12" s="83" t="str">
        <x:v>Аудиты QORSYS 14</x:v>
      </x:c>
      <x:c r="B12" s="78" t="n">
        <x:f>'Модель 36м'!B19</x:f>
        <x:v>360000</x:v>
      </x:c>
      <x:c r="C12" s="78" t="n">
        <x:f>'Модель 36м'!C19</x:f>
        <x:v>540000</x:v>
      </x:c>
      <x:c r="D12" s="78" t="n">
        <x:f>'Модель 36м'!D19</x:f>
        <x:v>540000</x:v>
      </x:c>
      <x:c r="E12" s="78" t="n">
        <x:f>'Модель 36м'!E19</x:f>
        <x:v>662400</x:v>
      </x:c>
      <x:c r="F12" s="78" t="n">
        <x:f>'Модель 36м'!F19</x:f>
        <x:v>662400</x:v>
      </x:c>
      <x:c r="G12" s="78" t="n">
        <x:f>'Модель 36м'!G19</x:f>
        <x:v>662400</x:v>
      </x:c>
      <x:c r="H12" s="78" t="n">
        <x:f>'Модель 36м'!H19</x:f>
        <x:v>761760</x:v>
      </x:c>
      <x:c r="I12" s="78" t="n">
        <x:f>'Модель 36м'!I19</x:f>
        <x:v>761760</x:v>
      </x:c>
      <x:c r="J12" s="78" t="n">
        <x:f>'Модель 36м'!J19</x:f>
        <x:v>761760</x:v>
      </x:c>
      <x:c r="K12" s="78" t="n">
        <x:f>'Модель 36м'!K19</x:f>
        <x:v>700819.2000000001</x:v>
      </x:c>
      <x:c r="L12" s="78" t="n">
        <x:f>'Модель 36м'!L19</x:f>
        <x:v>700819.2000000001</x:v>
      </x:c>
      <x:c r="M12" s="78" t="n">
        <x:f>'Модель 36м'!M19</x:f>
        <x:v>700819.2000000001</x:v>
      </x:c>
      <x:c r="N12" s="78" t="n">
        <x:f>'Модель 36м'!N19</x:f>
        <x:v>773704.3968000001</x:v>
      </x:c>
      <x:c r="O12" s="78" t="n">
        <x:f>'Модель 36м'!O19</x:f>
        <x:v>773704.3968000001</x:v>
      </x:c>
      <x:c r="P12" s="78" t="n">
        <x:f>'Модель 36м'!P19</x:f>
        <x:v>773704.3968000001</x:v>
      </x:c>
      <x:c r="Q12" s="78" t="n">
        <x:f>'Модель 36м'!Q19</x:f>
        <x:v>711808.0450560001</x:v>
      </x:c>
      <x:c r="R12" s="78" t="n">
        <x:f>'Модель 36м'!R19</x:f>
        <x:v>711808.0450560001</x:v>
      </x:c>
      <x:c r="S12" s="78" t="n">
        <x:f>'Модель 36м'!S19</x:f>
        <x:v>711808.0450560001</x:v>
      </x:c>
      <x:c r="T12" s="78" t="n">
        <x:f>'Модель 36м'!T19</x:f>
        <x:v>654863.4014515202</x:v>
      </x:c>
      <x:c r="U12" s="78" t="n">
        <x:f>'Модель 36м'!U19</x:f>
        <x:v>654863.4014515202</x:v>
      </x:c>
      <x:c r="V12" s="78" t="n">
        <x:f>'Модель 36м'!V19</x:f>
        <x:v>654863.4014515202</x:v>
      </x:c>
      <x:c r="W12" s="78" t="n">
        <x:f>'Модель 36м'!W19</x:f>
        <x:v>602474.3293353985</x:v>
      </x:c>
      <x:c r="X12" s="78" t="n">
        <x:f>'Модель 36м'!X19</x:f>
        <x:v>602474.3293353985</x:v>
      </x:c>
      <x:c r="Y12" s="78" t="n">
        <x:f>'Модель 36м'!Y19</x:f>
        <x:v>602474.3293353985</x:v>
      </x:c>
      <x:c r="Z12" s="78" t="n">
        <x:f>'Модель 36м'!Z19</x:f>
        <x:v>923793.9716476111</x:v>
      </x:c>
      <x:c r="AA12" s="78" t="n">
        <x:f>'Модель 36м'!AA19</x:f>
        <x:v>923793.9716476111</x:v>
      </x:c>
      <x:c r="AB12" s="78" t="n">
        <x:f>'Модель 36м'!AB19</x:f>
        <x:v>923793.9716476111</x:v>
      </x:c>
      <x:c r="AC12" s="78" t="n">
        <x:f>'Модель 36м'!AC19</x:f>
        <x:v>849890.4539158023</x:v>
      </x:c>
      <x:c r="AD12" s="78" t="n">
        <x:f>'Модель 36м'!AD19</x:f>
        <x:v>849890.4539158023</x:v>
      </x:c>
      <x:c r="AE12" s="78" t="n">
        <x:f>'Модель 36м'!AE19</x:f>
        <x:v>849890.4539158023</x:v>
      </x:c>
      <x:c r="AF12" s="78" t="n">
        <x:f>'Модель 36м'!AF19</x:f>
        <x:v>781899.2176025382</x:v>
      </x:c>
      <x:c r="AG12" s="78" t="n">
        <x:f>'Модель 36м'!AG19</x:f>
        <x:v>781899.2176025382</x:v>
      </x:c>
      <x:c r="AH12" s="78" t="n">
        <x:f>'Модель 36м'!AH19</x:f>
        <x:v>781899.2176025382</x:v>
      </x:c>
      <x:c r="AI12" s="78" t="n">
        <x:f>'Модель 36м'!AI19</x:f>
        <x:v>719347.280194335</x:v>
      </x:c>
      <x:c r="AJ12" s="78" t="n">
        <x:f>'Модель 36м'!AJ19</x:f>
        <x:v>719347.280194335</x:v>
      </x:c>
      <x:c r="AK12" s="78" t="n">
        <x:f>'Модель 36м'!AK19</x:f>
        <x:v>719347.280194335</x:v>
      </x:c>
    </x:row>
    <x:row r="13">
      <x:c r="A13" s="83" t="str">
        <x:v>Прямая себестоимость оптимизаций</x:v>
      </x:c>
      <x:c r="B13" s="78" t="n">
        <x:f>'Модель 36м'!B6*'Допущения'!$K$18</x:f>
        <x:v>385000.00000000006</x:v>
      </x:c>
      <x:c r="C13" s="78" t="n">
        <x:f>'Модель 36м'!C6*'Допущения'!$K$18</x:f>
        <x:v>577500</x:v>
      </x:c>
      <x:c r="D13" s="78" t="n">
        <x:f>'Модель 36м'!D6*'Допущения'!$K$18</x:f>
        <x:v>577500</x:v>
      </x:c>
      <x:c r="E13" s="78" t="n">
        <x:f>'Модель 36м'!E6*'Допущения'!$K$18</x:f>
        <x:v>770000.0000000001</x:v>
      </x:c>
      <x:c r="F13" s="78" t="n">
        <x:f>'Модель 36м'!F6*'Допущения'!$K$18</x:f>
        <x:v>770000.0000000001</x:v>
      </x:c>
      <x:c r="G13" s="78" t="n">
        <x:f>'Модель 36м'!G6*'Допущения'!$K$18</x:f>
        <x:v>770000.0000000001</x:v>
      </x:c>
      <x:c r="H13" s="78" t="n">
        <x:f>'Модель 36м'!H6*'Допущения'!$K$18</x:f>
        <x:v>962500</x:v>
      </x:c>
      <x:c r="I13" s="78" t="n">
        <x:f>'Модель 36м'!I6*'Допущения'!$K$18</x:f>
        <x:v>962500</x:v>
      </x:c>
      <x:c r="J13" s="78" t="n">
        <x:f>'Модель 36м'!J6*'Допущения'!$K$18</x:f>
        <x:v>962500</x:v>
      </x:c>
      <x:c r="K13" s="78" t="n">
        <x:f>'Модель 36м'!K6*'Допущения'!$K$18</x:f>
        <x:v>962500</x:v>
      </x:c>
      <x:c r="L13" s="78" t="n">
        <x:f>'Модель 36м'!L6*'Допущения'!$K$18</x:f>
        <x:v>962500</x:v>
      </x:c>
      <x:c r="M13" s="78" t="n">
        <x:f>'Модель 36м'!M6*'Допущения'!$K$18</x:f>
        <x:v>962500</x:v>
      </x:c>
      <x:c r="N13" s="78" t="n">
        <x:f>'Модель 36м'!N6*'Допущения'!$K$18</x:f>
        <x:v>1155000</x:v>
      </x:c>
      <x:c r="O13" s="78" t="n">
        <x:f>'Модель 36м'!O6*'Допущения'!$K$18</x:f>
        <x:v>1155000</x:v>
      </x:c>
      <x:c r="P13" s="78" t="n">
        <x:f>'Модель 36м'!P6*'Допущения'!$K$18</x:f>
        <x:v>1155000</x:v>
      </x:c>
      <x:c r="Q13" s="78" t="n">
        <x:f>'Модель 36м'!Q6*'Допущения'!$K$18</x:f>
        <x:v>1155000</x:v>
      </x:c>
      <x:c r="R13" s="78" t="n">
        <x:f>'Модель 36м'!R6*'Допущения'!$K$18</x:f>
        <x:v>1155000</x:v>
      </x:c>
      <x:c r="S13" s="78" t="n">
        <x:f>'Модель 36м'!S6*'Допущения'!$K$18</x:f>
        <x:v>1155000</x:v>
      </x:c>
      <x:c r="T13" s="78" t="n">
        <x:f>'Модель 36м'!T6*'Допущения'!$K$18</x:f>
        <x:v>1155000</x:v>
      </x:c>
      <x:c r="U13" s="78" t="n">
        <x:f>'Модель 36м'!U6*'Допущения'!$K$18</x:f>
        <x:v>1155000</x:v>
      </x:c>
      <x:c r="V13" s="78" t="n">
        <x:f>'Модель 36м'!V6*'Допущения'!$K$18</x:f>
        <x:v>1155000</x:v>
      </x:c>
      <x:c r="W13" s="78" t="n">
        <x:f>'Модель 36м'!W6*'Допущения'!$K$18</x:f>
        <x:v>1155000</x:v>
      </x:c>
      <x:c r="X13" s="78" t="n">
        <x:f>'Модель 36м'!X6*'Допущения'!$K$18</x:f>
        <x:v>1155000</x:v>
      </x:c>
      <x:c r="Y13" s="78" t="n">
        <x:f>'Модель 36м'!Y6*'Допущения'!$K$18</x:f>
        <x:v>1155000</x:v>
      </x:c>
      <x:c r="Z13" s="78" t="n">
        <x:f>'Модель 36м'!Z6*'Допущения'!$K$18</x:f>
        <x:v>1925000</x:v>
      </x:c>
      <x:c r="AA13" s="78" t="n">
        <x:f>'Модель 36м'!AA6*'Допущения'!$K$18</x:f>
        <x:v>1925000</x:v>
      </x:c>
      <x:c r="AB13" s="78" t="n">
        <x:f>'Модель 36м'!AB6*'Допущения'!$K$18</x:f>
        <x:v>1925000</x:v>
      </x:c>
      <x:c r="AC13" s="78" t="n">
        <x:f>'Модель 36м'!AC6*'Допущения'!$K$18</x:f>
        <x:v>1925000</x:v>
      </x:c>
      <x:c r="AD13" s="78" t="n">
        <x:f>'Модель 36м'!AD6*'Допущения'!$K$18</x:f>
        <x:v>1925000</x:v>
      </x:c>
      <x:c r="AE13" s="78" t="n">
        <x:f>'Модель 36м'!AE6*'Допущения'!$K$18</x:f>
        <x:v>1925000</x:v>
      </x:c>
      <x:c r="AF13" s="78" t="n">
        <x:f>'Модель 36м'!AF6*'Допущения'!$K$18</x:f>
        <x:v>1925000</x:v>
      </x:c>
      <x:c r="AG13" s="78" t="n">
        <x:f>'Модель 36м'!AG6*'Допущения'!$K$18</x:f>
        <x:v>1925000</x:v>
      </x:c>
      <x:c r="AH13" s="78" t="n">
        <x:f>'Модель 36м'!AH6*'Допущения'!$K$18</x:f>
        <x:v>1925000</x:v>
      </x:c>
      <x:c r="AI13" s="78" t="n">
        <x:f>'Модель 36м'!AI6*'Допущения'!$K$18</x:f>
        <x:v>1925000</x:v>
      </x:c>
      <x:c r="AJ13" s="78" t="n">
        <x:f>'Модель 36м'!AJ6*'Допущения'!$K$18</x:f>
        <x:v>1925000</x:v>
      </x:c>
      <x:c r="AK13" s="78" t="n">
        <x:f>'Модель 36м'!AK6*'Допущения'!$K$18</x:f>
        <x:v>1925000</x:v>
      </x:c>
    </x:row>
    <x:row r="14">
      <x:c r="A14" s="83" t="str">
        <x:v>Поддержка Ядра QORSYS</x:v>
      </x:c>
      <x:c r="B14" s="78" t="n">
        <x:f>'Модель 36м'!B10*'Допущения'!$K$19</x:f>
        <x:v>0</x:v>
      </x:c>
      <x:c r="C14" s="78" t="n">
        <x:f>'Модель 36м'!C10*'Допущения'!$K$19</x:f>
        <x:v>22000.000000000004</x:v>
      </x:c>
      <x:c r="D14" s="78" t="n">
        <x:f>'Модель 36м'!D10*'Допущения'!$K$19</x:f>
        <x:v>54780.00000000001</x:v>
      </x:c>
      <x:c r="E14" s="78" t="n">
        <x:f>'Модель 36м'!E10*'Допущения'!$K$19</x:f>
        <x:v>87232.20000000001</x:v>
      </x:c>
      <x:c r="F14" s="78" t="n">
        <x:f>'Модель 36м'!F10*'Допущения'!$K$19</x:f>
        <x:v>130359.87800000001</x:v>
      </x:c>
      <x:c r="G14" s="78" t="n">
        <x:f>'Модель 36м'!G10*'Допущения'!$K$19</x:f>
        <x:v>173056.27922000003</x:v>
      </x:c>
      <x:c r="H14" s="78" t="n">
        <x:f>'Модель 36м'!H10*'Допущения'!$K$19</x:f>
        <x:v>215325.7164278</x:v>
      </x:c>
      <x:c r="I14" s="78" t="n">
        <x:f>'Модель 36м'!I10*'Допущения'!$K$19</x:f>
        <x:v>268172.459263522</x:v>
      </x:c>
      <x:c r="J14" s="78" t="n">
        <x:f>'Модель 36м'!J10*'Допущения'!$K$19</x:f>
        <x:v>320490.73467088677</x:v>
      </x:c>
      <x:c r="K14" s="78" t="n">
        <x:f>'Модель 36м'!K10*'Допущения'!$K$19</x:f>
        <x:v>372285.82732417795</x:v>
      </x:c>
      <x:c r="L14" s="78" t="n">
        <x:f>'Модель 36м'!L10*'Допущения'!$K$19</x:f>
        <x:v>423562.9690509362</x:v>
      </x:c>
      <x:c r="M14" s="78" t="n">
        <x:f>'Модель 36м'!M10*'Допущения'!$K$19</x:f>
        <x:v>474327.3393604269</x:v>
      </x:c>
      <x:c r="N14" s="78" t="n">
        <x:f>'Модель 36м'!N10*'Допущения'!$K$19</x:f>
        <x:v>524584.0659668226</x:v>
      </x:c>
      <x:c r="O14" s="78" t="n">
        <x:f>'Модель 36м'!O10*'Допущения'!$K$19</x:f>
        <x:v>585338.2253071544</x:v>
      </x:c>
      <x:c r="P14" s="78" t="n">
        <x:f>'Модель 36м'!P10*'Допущения'!$K$19</x:f>
        <x:v>645484.843054083</x:v>
      </x:c>
      <x:c r="Q14" s="78" t="n">
        <x:f>'Модель 36м'!Q10*'Допущения'!$K$19</x:f>
        <x:v>705029.9946235421</x:v>
      </x:c>
      <x:c r="R14" s="78" t="n">
        <x:f>'Модель 36м'!R10*'Допущения'!$K$19</x:f>
        <x:v>763979.6946773067</x:v>
      </x:c>
      <x:c r="S14" s="78" t="n">
        <x:f>'Модель 36м'!S10*'Допущения'!$K$19</x:f>
        <x:v>822339.8977305336</x:v>
      </x:c>
      <x:c r="T14" s="78" t="n">
        <x:f>'Модель 36м'!T10*'Допущения'!$K$19</x:f>
        <x:v>880116.4987532283</x:v>
      </x:c>
      <x:c r="U14" s="78" t="n">
        <x:f>'Модель 36м'!U10*'Допущения'!$K$19</x:f>
        <x:v>937315.333765696</x:v>
      </x:c>
      <x:c r="V14" s="78" t="n">
        <x:f>'Модель 36м'!V10*'Допущения'!$K$19</x:f>
        <x:v>993942.180428039</x:v>
      </x:c>
      <x:c r="W14" s="78" t="n">
        <x:f>'Модель 36м'!W10*'Допущения'!$K$19</x:f>
        <x:v>1050002.7586237588</x:v>
      </x:c>
      <x:c r="X14" s="78" t="n">
        <x:f>'Модель 36м'!X10*'Допущения'!$K$19</x:f>
        <x:v>1105502.7310375213</x:v>
      </x:c>
      <x:c r="Y14" s="78" t="n">
        <x:f>'Модель 36м'!Y10*'Допущения'!$K$19</x:f>
        <x:v>1160447.703727146</x:v>
      </x:c>
      <x:c r="Z14" s="78" t="n">
        <x:f>'Модель 36м'!Z10*'Допущения'!$K$19</x:f>
        <x:v>1214843.2266898744</x:v>
      </x:c>
      <x:c r="AA14" s="78" t="n">
        <x:f>'Модель 36м'!AA10*'Допущения'!$K$19</x:f>
        <x:v>1312694.7944229757</x:v>
      </x:c>
      <x:c r="AB14" s="78" t="n">
        <x:f>'Модель 36м'!AB10*'Допущения'!$K$19</x:f>
        <x:v>1409567.846478746</x:v>
      </x:c>
      <x:c r="AC14" s="78" t="n">
        <x:f>'Модель 36м'!AC10*'Допущения'!$K$19</x:f>
        <x:v>1505472.1680139585</x:v>
      </x:c>
      <x:c r="AD14" s="78" t="n">
        <x:f>'Модель 36м'!AD10*'Допущения'!$K$19</x:f>
        <x:v>1600417.4463338188</x:v>
      </x:c>
      <x:c r="AE14" s="78" t="n">
        <x:f>'Модель 36м'!AE10*'Допущения'!$K$19</x:f>
        <x:v>1694413.2718704809</x:v>
      </x:c>
      <x:c r="AF14" s="78" t="n">
        <x:f>'Модель 36м'!AF10*'Допущения'!$K$19</x:f>
        <x:v>1787469.139151776</x:v>
      </x:c>
      <x:c r="AG14" s="78" t="n">
        <x:f>'Модель 36м'!AG10*'Допущения'!$K$19</x:f>
        <x:v>1879594.4477602586</x:v>
      </x:c>
      <x:c r="AH14" s="78" t="n">
        <x:f>'Модель 36м'!AH10*'Допущения'!$K$19</x:f>
        <x:v>1970798.503282656</x:v>
      </x:c>
      <x:c r="AI14" s="78" t="n">
        <x:f>'Модель 36м'!AI10*'Допущения'!$K$19</x:f>
        <x:v>2061090.5182498295</x:v>
      </x:c>
      <x:c r="AJ14" s="78" t="n">
        <x:f>'Модель 36м'!AJ10*'Допущения'!$K$19</x:f>
        <x:v>2150479.6130673317</x:v>
      </x:c>
      <x:c r="AK14" s="78" t="n">
        <x:f>'Модель 36м'!AK10*'Допущения'!$K$19</x:f>
        <x:v>2238974.816936658</x:v>
      </x:c>
    </x:row>
    <x:row r="15">
      <x:c r="A15" s="83" t="str">
        <x:v>Переменная инфраструктура</x:v>
      </x:c>
      <x:c r="B15" s="78" t="n">
        <x:f>'Модель 36м'!B10*'Допущения'!$K$21</x:f>
        <x:v>0</x:v>
      </x:c>
      <x:c r="C15" s="78" t="n">
        <x:f>'Модель 36м'!C10*'Допущения'!$K$21</x:f>
        <x:v>17600.000000000004</x:v>
      </x:c>
      <x:c r="D15" s="78" t="n">
        <x:f>'Модель 36м'!D10*'Допущения'!$K$21</x:f>
        <x:v>43824.00000000001</x:v>
      </x:c>
      <x:c r="E15" s="78" t="n">
        <x:f>'Модель 36м'!E10*'Допущения'!$K$21</x:f>
        <x:v>69785.76000000001</x:v>
      </x:c>
      <x:c r="F15" s="78" t="n">
        <x:f>'Модель 36м'!F10*'Допущения'!$K$21</x:f>
        <x:v>104287.90240000002</x:v>
      </x:c>
      <x:c r="G15" s="78" t="n">
        <x:f>'Модель 36м'!G10*'Допущения'!$K$21</x:f>
        <x:v>138445.02337600003</x:v>
      </x:c>
      <x:c r="H15" s="78" t="n">
        <x:f>'Модель 36м'!H10*'Допущения'!$K$21</x:f>
        <x:v>172260.57314224</x:v>
      </x:c>
      <x:c r="I15" s="78" t="n">
        <x:f>'Модель 36м'!I10*'Допущения'!$K$21</x:f>
        <x:v>214537.9674108176</x:v>
      </x:c>
      <x:c r="J15" s="78" t="n">
        <x:f>'Модель 36м'!J10*'Допущения'!$K$21</x:f>
        <x:v>256392.58773670942</x:v>
      </x:c>
      <x:c r="K15" s="78" t="n">
        <x:f>'Модель 36м'!K10*'Допущения'!$K$21</x:f>
        <x:v>297828.66185934236</x:v>
      </x:c>
      <x:c r="L15" s="78" t="n">
        <x:f>'Модель 36м'!L10*'Допущения'!$K$21</x:f>
        <x:v>338850.375240749</x:v>
      </x:c>
      <x:c r="M15" s="78" t="n">
        <x:f>'Модель 36м'!M10*'Допущения'!$K$21</x:f>
        <x:v>379461.8714883415</x:v>
      </x:c>
      <x:c r="N15" s="78" t="n">
        <x:f>'Модель 36м'!N10*'Допущения'!$K$21</x:f>
        <x:v>419667.2527734581</x:v>
      </x:c>
      <x:c r="O15" s="78" t="n">
        <x:f>'Модель 36м'!O10*'Допущения'!$K$21</x:f>
        <x:v>468270.58024572354</x:v>
      </x:c>
      <x:c r="P15" s="78" t="n">
        <x:f>'Модель 36м'!P10*'Допущения'!$K$21</x:f>
        <x:v>516387.8744432663</x:v>
      </x:c>
      <x:c r="Q15" s="78" t="n">
        <x:f>'Модель 36м'!Q10*'Допущения'!$K$21</x:f>
        <x:v>564023.9956988336</x:v>
      </x:c>
      <x:c r="R15" s="78" t="n">
        <x:f>'Модель 36м'!R10*'Допущения'!$K$21</x:f>
        <x:v>611183.7557418454</x:v>
      </x:c>
      <x:c r="S15" s="78" t="n">
        <x:f>'Модель 36м'!S10*'Допущения'!$K$21</x:f>
        <x:v>657871.918184427</x:v>
      </x:c>
      <x:c r="T15" s="78" t="n">
        <x:f>'Модель 36м'!T10*'Допущения'!$K$21</x:f>
        <x:v>704093.1990025827</x:v>
      </x:c>
      <x:c r="U15" s="78" t="n">
        <x:f>'Модель 36м'!U10*'Допущения'!$K$21</x:f>
        <x:v>749852.2670125568</x:v>
      </x:c>
      <x:c r="V15" s="78" t="n">
        <x:f>'Модель 36м'!V10*'Допущения'!$K$21</x:f>
        <x:v>795153.7443424313</x:v>
      </x:c>
      <x:c r="W15" s="78" t="n">
        <x:f>'Модель 36м'!W10*'Допущения'!$K$21</x:f>
        <x:v>840002.206899007</x:v>
      </x:c>
      <x:c r="X15" s="78" t="n">
        <x:f>'Модель 36м'!X10*'Допущения'!$K$21</x:f>
        <x:v>884402.184830017</x:v>
      </x:c>
      <x:c r="Y15" s="78" t="n">
        <x:f>'Модель 36м'!Y10*'Допущения'!$K$21</x:f>
        <x:v>928358.1629817168</x:v>
      </x:c>
      <x:c r="Z15" s="78" t="n">
        <x:f>'Модель 36м'!Z10*'Допущения'!$K$21</x:f>
        <x:v>971874.5813518995</x:v>
      </x:c>
      <x:c r="AA15" s="78" t="n">
        <x:f>'Модель 36м'!AA10*'Допущения'!$K$21</x:f>
        <x:v>1050155.8355383805</x:v>
      </x:c>
      <x:c r="AB15" s="78" t="n">
        <x:f>'Модель 36м'!AB10*'Допущения'!$K$21</x:f>
        <x:v>1127654.2771829967</x:v>
      </x:c>
      <x:c r="AC15" s="78" t="n">
        <x:f>'Модель 36м'!AC10*'Допущения'!$K$21</x:f>
        <x:v>1204377.7344111667</x:v>
      </x:c>
      <x:c r="AD15" s="78" t="n">
        <x:f>'Модель 36м'!AD10*'Допущения'!$K$21</x:f>
        <x:v>1280333.9570670552</x:v>
      </x:c>
      <x:c r="AE15" s="78" t="n">
        <x:f>'Модель 36м'!AE10*'Допущения'!$K$21</x:f>
        <x:v>1355530.6174963845</x:v>
      </x:c>
      <x:c r="AF15" s="78" t="n">
        <x:f>'Модель 36м'!AF10*'Допущения'!$K$21</x:f>
        <x:v>1429975.3113214208</x:v>
      </x:c>
      <x:c r="AG15" s="78" t="n">
        <x:f>'Модель 36м'!AG10*'Допущения'!$K$21</x:f>
        <x:v>1503675.558208207</x:v>
      </x:c>
      <x:c r="AH15" s="78" t="n">
        <x:f>'Модель 36м'!AH10*'Допущения'!$K$21</x:f>
        <x:v>1576638.8026261248</x:v>
      </x:c>
      <x:c r="AI15" s="78" t="n">
        <x:f>'Модель 36м'!AI10*'Допущения'!$K$21</x:f>
        <x:v>1648872.4145998638</x:v>
      </x:c>
      <x:c r="AJ15" s="78" t="n">
        <x:f>'Модель 36м'!AJ10*'Допущения'!$K$21</x:f>
        <x:v>1720383.6904538653</x:v>
      </x:c>
      <x:c r="AK15" s="78" t="n">
        <x:f>'Модель 36м'!AK10*'Допущения'!$K$21</x:f>
        <x:v>1791179.8535493268</x:v>
      </x:c>
    </x:row>
    <x:row r="16">
      <x:c r="A16" s="84" t="str">
        <x:v>Итого себестоимость</x:v>
      </x:c>
      <x:c r="B16" s="79" t="n">
        <x:f>SUM(B12:B15)</x:f>
        <x:v>745000</x:v>
      </x:c>
      <x:c r="C16" s="79" t="n">
        <x:f>SUM(C12:C15)</x:f>
        <x:v>1157100</x:v>
      </x:c>
      <x:c r="D16" s="79" t="n">
        <x:f>SUM(D12:D15)</x:f>
        <x:v>1216104</x:v>
      </x:c>
      <x:c r="E16" s="79" t="n">
        <x:f>SUM(E12:E15)</x:f>
        <x:v>1589417.96</x:v>
      </x:c>
      <x:c r="F16" s="79" t="n">
        <x:f>SUM(F12:F15)</x:f>
        <x:v>1667047.7804</x:v>
      </x:c>
      <x:c r="G16" s="79" t="n">
        <x:f>SUM(G12:G15)</x:f>
        <x:v>1743901.302596</x:v>
      </x:c>
      <x:c r="H16" s="79" t="n">
        <x:f>SUM(H12:H15)</x:f>
        <x:v>2111846.28957004</x:v>
      </x:c>
      <x:c r="I16" s="79" t="n">
        <x:f>SUM(I12:I15)</x:f>
        <x:v>2206970.4266743395</x:v>
      </x:c>
      <x:c r="J16" s="79" t="n">
        <x:f>SUM(J12:J15)</x:f>
        <x:v>2301143.3224075963</x:v>
      </x:c>
      <x:c r="K16" s="79" t="n">
        <x:f>SUM(K12:K15)</x:f>
        <x:v>2333433.6891835206</x:v>
      </x:c>
      <x:c r="L16" s="79" t="n">
        <x:f>SUM(L12:L15)</x:f>
        <x:v>2425732.5442916853</x:v>
      </x:c>
      <x:c r="M16" s="79" t="n">
        <x:f>SUM(M12:M15)</x:f>
        <x:v>2517108.410848769</x:v>
      </x:c>
      <x:c r="N16" s="79" t="n">
        <x:f>SUM(N12:N15)</x:f>
        <x:v>2872955.715540281</x:v>
      </x:c>
      <x:c r="O16" s="79" t="n">
        <x:f>SUM(O12:O15)</x:f>
        <x:v>2982313.202352878</x:v>
      </x:c>
      <x:c r="P16" s="79" t="n">
        <x:f>SUM(P12:P15)</x:f>
        <x:v>3090577.11429735</x:v>
      </x:c>
      <x:c r="Q16" s="79" t="n">
        <x:f>SUM(Q12:Q15)</x:f>
        <x:v>3135862.035378376</x:v>
      </x:c>
      <x:c r="R16" s="79" t="n">
        <x:f>SUM(R12:R15)</x:f>
        <x:v>3241971.495475152</x:v>
      </x:c>
      <x:c r="S16" s="79" t="n">
        <x:f>SUM(S12:S15)</x:f>
        <x:v>3347019.860970961</x:v>
      </x:c>
      <x:c r="T16" s="79" t="n">
        <x:f>SUM(T12:T15)</x:f>
        <x:v>3394073.099207331</x:v>
      </x:c>
      <x:c r="U16" s="79" t="n">
        <x:f>SUM(U12:U15)</x:f>
        <x:v>3497031.0022297734</x:v>
      </x:c>
      <x:c r="V16" s="79" t="n">
        <x:f>SUM(V12:V15)</x:f>
        <x:v>3598959.3262219904</x:v>
      </x:c>
      <x:c r="W16" s="79" t="n">
        <x:f>SUM(W12:W15)</x:f>
        <x:v>3647479.294858164</x:v>
      </x:c>
      <x:c r="X16" s="79" t="n">
        <x:f>SUM(X12:X15)</x:f>
        <x:v>3747379.2452029367</x:v>
      </x:c>
      <x:c r="Y16" s="79" t="n">
        <x:f>SUM(Y12:Y15)</x:f>
        <x:v>3846280.1960442616</x:v>
      </x:c>
      <x:c r="Z16" s="79" t="n">
        <x:f>SUM(Z12:Z15)</x:f>
        <x:v>5035511.779689385</x:v>
      </x:c>
      <x:c r="AA16" s="79" t="n">
        <x:f>SUM(AA12:AA15)</x:f>
        <x:v>5211644.601608967</x:v>
      </x:c>
      <x:c r="AB16" s="79" t="n">
        <x:f>SUM(AB12:AB15)</x:f>
        <x:v>5386016.095309354</x:v>
      </x:c>
      <x:c r="AC16" s="79" t="n">
        <x:f>SUM(AC12:AC15)</x:f>
        <x:v>5484740.356340928</x:v>
      </x:c>
      <x:c r="AD16" s="79" t="n">
        <x:f>SUM(AD12:AD15)</x:f>
        <x:v>5655641.8573166765</x:v>
      </x:c>
      <x:c r="AE16" s="79" t="n">
        <x:f>SUM(AE12:AE15)</x:f>
        <x:v>5824834.343282668</x:v>
      </x:c>
      <x:c r="AF16" s="79" t="n">
        <x:f>SUM(AF12:AF15)</x:f>
        <x:v>5924343.668075735</x:v>
      </x:c>
      <x:c r="AG16" s="79" t="n">
        <x:f>SUM(AG12:AG15)</x:f>
        <x:v>6090169.223571003</x:v>
      </x:c>
      <x:c r="AH16" s="79" t="n">
        <x:f>SUM(AH12:AH15)</x:f>
        <x:v>6254336.5235113185</x:v>
      </x:c>
      <x:c r="AI16" s="79" t="n">
        <x:f>SUM(AI12:AI15)</x:f>
        <x:v>6354310.213044029</x:v>
      </x:c>
      <x:c r="AJ16" s="79" t="n">
        <x:f>SUM(AJ12:AJ15)</x:f>
        <x:v>6515210.583715533</x:v>
      </x:c>
      <x:c r="AK16" s="79" t="n">
        <x:f>SUM(AK12:AK15)</x:f>
        <x:v>6674501.95068032</x:v>
      </x:c>
    </x:row>
    <x:row r="17">
      <x:c r="A17" s="84" t="str">
        <x:v>Валовая прибыль</x:v>
      </x:c>
      <x:c r="B17" s="79" t="n">
        <x:f>B9-B16</x:f>
        <x:v>905000.0000000002</x:v>
      </x:c>
      <x:c r="C17" s="79" t="n">
        <x:f>C9-C16</x:f>
        <x:v>1537900</x:v>
      </x:c>
      <x:c r="D17" s="79" t="n">
        <x:f>D9-D16</x:f>
        <x:v>1806696</x:v>
      </x:c>
      <x:c r="E17" s="79" t="n">
        <x:f>E9-E16</x:f>
        <x:v>2582904.0400000005</x:v>
      </x:c>
      <x:c r="F17" s="79" t="n">
        <x:f>F9-F16</x:f>
        <x:v>2936550.999600001</x:v>
      </x:c>
      <x:c r="G17" s="79" t="n">
        <x:f>G9-G16</x:f>
        <x:v>3286661.489604001</x:v>
      </x:c>
      <x:c r="H17" s="79" t="n">
        <x:f>H9-H16</x:f>
        <x:v>4166410.8747079605</x:v>
      </x:c>
      <x:c r="I17" s="79" t="n">
        <x:f>I9-I16</x:f>
        <x:v>4599754.16596088</x:v>
      </x:c>
      <x:c r="J17" s="79" t="n">
        <x:f>J9-J16</x:f>
        <x:v>5028764.024301272</x:v>
      </x:c>
      <x:c r="K17" s="79" t="n">
        <x:f>K9-K16</x:f>
        <x:v>5514424.584058259</x:v>
      </x:c>
      <x:c r="L17" s="79" t="n">
        <x:f>L9-L16</x:f>
        <x:v>5934897.146217677</x:v>
      </x:c>
      <x:c r="M17" s="79" t="n">
        <x:f>M9-M16</x:f>
        <x:v>6351164.982755499</x:v>
      </x:c>
      <x:c r="N17" s="79" t="n">
        <x:f>N9-N16</x:f>
        <x:v>7322884.944127945</x:v>
      </x:c>
      <x:c r="O17" s="79" t="n">
        <x:f>O9-O16</x:f>
        <x:v>7821069.050718665</x:v>
      </x:c>
      <x:c r="P17" s="79" t="n">
        <x:f>P9-P16</x:f>
        <x:v>8314271.31624348</x:v>
      </x:c>
      <x:c r="Q17" s="79" t="n">
        <x:f>Q9-Q16</x:f>
        <x:v>8864437.910857044</x:v>
      </x:c>
      <x:c r="R17" s="79" t="n">
        <x:f>R9-R16</x:f>
        <x:v>9347825.451297915</x:v>
      </x:c>
      <x:c r="S17" s="79" t="n">
        <x:f>S9-S16</x:f>
        <x:v>9826379.116334377</x:v>
      </x:c>
      <x:c r="T17" s="79" t="n">
        <x:f>T9-T16</x:f>
        <x:v>10357091.888324954</x:v>
      </x:c>
      <x:c r="U17" s="79" t="n">
        <x:f>U9-U16</x:f>
        <x:v>10826122.335427187</x:v>
      </x:c>
      <x:c r="V17" s="79" t="n">
        <x:f>V9-V16</x:f>
        <x:v>11290462.478058401</x:v>
      </x:c>
      <x:c r="W17" s="79" t="n">
        <x:f>W9-W16</x:f>
        <x:v>11802548.291379422</x:v>
      </x:c>
      <x:c r="X17" s="79" t="n">
        <x:f>X9-X16</x:f>
        <x:v>12257648.065172276</x:v>
      </x:c>
      <x:c r="Y17" s="79" t="n">
        <x:f>Y9-Y16</x:f>
        <x:v>12708196.8412272</x:v>
      </x:c>
      <x:c r="Z17" s="79" t="n">
        <x:f>Z9-Z16</x:f>
        <x:v>15362920.48720936</x:v>
      </x:c>
      <x:c r="AA17" s="79" t="n">
        <x:f>AA9-AA16</x:f>
        <x:v>16165303.342620792</x:v>
      </x:c>
      <x:c r="AB17" s="79" t="n">
        <x:f>AB9-AB16</x:f>
        <x:v>16959662.369478106</x:v>
      </x:c>
      <x:c r="AC17" s="79" t="n">
        <x:f>AC9-AC16</x:f>
        <x:v>17819981.323798656</x:v>
      </x:c>
      <x:c r="AD17" s="79" t="n">
        <x:f>AD9-AD16</x:f>
        <x:v>18598532.606021512</x:v>
      </x:c>
      <x:c r="AE17" s="79" t="n">
        <x:f>AE9-AE16</x:f>
        <x:v>19369298.375422142</x:v>
      </x:c>
      <x:c r="AF17" s="79" t="n">
        <x:f>AF9-AF16</x:f>
        <x:v>20200347.723442025</x:v>
      </x:c>
      <x:c r="AG17" s="79" t="n">
        <x:f>AG9-AG16</x:f>
        <x:v>20955775.254031584</x:v>
      </x:c>
      <x:c r="AH17" s="79" t="n">
        <x:f>AH9-AH16</x:f>
        <x:v>21703648.509315245</x:v>
      </x:c>
      <x:c r="AI17" s="79" t="n">
        <x:f>AI9-AI16</x:f>
        <x:v>22506594.969454266</x:v>
      </x:c>
      <x:c r="AJ17" s="79" t="n">
        <x:f>AJ9-AJ16</x:f>
        <x:v>23239585.546957783</x:v>
      </x:c>
      <x:c r="AK17" s="79" t="n">
        <x:f>AK9-AK16</x:f>
        <x:v>23965246.218686264</x:v>
      </x:c>
    </x:row>
    <x:row r="18">
      <x:c r="A18" s="83" t="str">
        <x:v>Валовая маржа</x:v>
      </x:c>
      <x:c r="B18" s="81" t="n">
        <x:f>IFERROR(B17/B9,0)</x:f>
        <x:v>0.5484848484848486</x:v>
      </x:c>
      <x:c r="C18" s="81" t="n">
        <x:f>IFERROR(C17/C9,0)</x:f>
        <x:v>0.5706493506493506</x:v>
      </x:c>
      <x:c r="D18" s="81" t="n">
        <x:f>IFERROR(D17/D9,0)</x:f>
        <x:v>0.597689559348948</x:v>
      </x:c>
      <x:c r="E18" s="81" t="n">
        <x:f>IFERROR(E17/E9,0)</x:f>
        <x:v>0.6190567362729914</x:v>
      </x:c>
      <x:c r="F18" s="81" t="n">
        <x:f>IFERROR(F17/F9,0)</x:f>
        <x:v>0.6378816095698071</x:v>
      </x:c>
      <x:c r="G18" s="81" t="n">
        <x:f>IFERROR(G17/G9,0)</x:f>
        <x:v>0.6533387267722892</x:v>
      </x:c>
      <x:c r="H18" s="81" t="n">
        <x:f>IFERROR(H17/H9,0)</x:f>
        <x:v>0.6636253924757951</x:v>
      </x:c>
      <x:c r="I18" s="81" t="n">
        <x:f>IFERROR(I17/I9,0)</x:f>
        <x:v>0.6757661637930451</x:v>
      </x:c>
      <x:c r="J18" s="81" t="n">
        <x:f>IFERROR(J17/J9,0)</x:f>
        <x:v>0.6860610627717129</x:v>
      </x:c>
      <x:c r="K18" s="81" t="n">
        <x:f>IFERROR(K17/K9,0)</x:f>
        <x:v>0.7026661787280685</x:v>
      </x:c>
      <x:c r="L18" s="81" t="n">
        <x:f>IFERROR(L17/L9,0)</x:f>
        <x:v>0.7098624584407469</x:v>
      </x:c>
      <x:c r="M18" s="81" t="n">
        <x:f>IFERROR(M17/M9,0)</x:f>
        <x:v>0.7161670260792717</x:v>
      </x:c>
      <x:c r="N18" s="81" t="n">
        <x:f>IFERROR(N17/N9,0)</x:f>
        <x:v>0.7182227722619424</x:v>
      </x:c>
      <x:c r="O18" s="81" t="n">
        <x:f>IFERROR(O17/O9,0)</x:f>
        <x:v>0.7239463408318291</x:v>
      </x:c>
      <x:c r="P18" s="81" t="n">
        <x:f>IFERROR(P17/P9,0)</x:f>
        <x:v>0.729011995808629</x:v>
      </x:c>
      <x:c r="Q18" s="81" t="n">
        <x:f>IFERROR(Q17/Q9,0)</x:f>
        <x:v>0.7386846954302906</x:v>
      </x:c>
      <x:c r="R18" s="81" t="n">
        <x:f>IFERROR(R17/R9,0)</x:f>
        <x:v>0.7424921538304783</x:v>
      </x:c>
      <x:c r="S18" s="81" t="n">
        <x:f>IFERROR(S17/S9,0)</x:f>
        <x:v>0.7459258717710526</x:v>
      </x:c>
      <x:c r="T18" s="81" t="n">
        <x:f>IFERROR(T17/T9,0)</x:f>
        <x:v>0.7531792322843467</x:v>
      </x:c>
      <x:c r="U18" s="81" t="n">
        <x:f>IFERROR(U17/U9,0)</x:f>
        <x:v>0.7558476880202254</x:v>
      </x:c>
      <x:c r="V18" s="81" t="n">
        <x:f>IFERROR(V17/V9,0)</x:f>
        <x:v>0.7582875027969611</x:v>
      </x:c>
      <x:c r="W18" s="81" t="n">
        <x:f>IFERROR(W17/W9,0)</x:f>
        <x:v>0.7639176192729114</x:v>
      </x:c>
      <x:c r="X18" s="81" t="n">
        <x:f>IFERROR(X17/X9,0)</x:f>
        <x:v>0.7658623648349723</x:v>
      </x:c>
      <x:c r="Y18" s="81" t="n">
        <x:f>IFERROR(Y17/Y9,0)</x:f>
        <x:v>0.7676592146411765</x:v>
      </x:c>
      <x:c r="Z18" s="81" t="n">
        <x:f>IFERROR(Z17/Z9,0)</x:f>
        <x:v>0.7531422163329342</x:v>
      </x:c>
      <x:c r="AA18" s="81" t="n">
        <x:f>IFERROR(AA17/AA9,0)</x:f>
        <x:v>0.7562025872352963</x:v>
      </x:c>
      <x:c r="AB18" s="81" t="n">
        <x:f>IFERROR(AB17/AB9,0)</x:f>
        <x:v>0.7589683345799193</x:v>
      </x:c>
      <x:c r="AC18" s="81" t="n">
        <x:f>IFERROR(AC17/AC9,0)</x:f>
        <x:v>0.7646511109800098</x:v>
      </x:c>
      <x:c r="AD18" s="81" t="n">
        <x:f>IFERROR(AD17/AD9,0)</x:f>
        <x:v>0.766817796010103</x:v>
      </x:c>
      <x:c r="AE18" s="81" t="n">
        <x:f>IFERROR(AE17/AE9,0)</x:f>
        <x:v>0.7688019505050019</x:v>
      </x:c>
      <x:c r="AF18" s="81" t="n">
        <x:f>IFERROR(AF17/AF9,0)</x:f>
        <x:v>0.7732281855777531</x:v>
      </x:c>
      <x:c r="AG18" s="81" t="n">
        <x:f>IFERROR(AG17/AG9,0)</x:f>
        <x:v>0.774821351548125</x:v>
      </x:c>
      <x:c r="AH18" s="81" t="n">
        <x:f>IFERROR(AH17/AH9,0)</x:f>
        <x:v>0.7762951616088264</x:v>
      </x:c>
      <x:c r="AI18" s="81" t="n">
        <x:f>IFERROR(AI17/AI9,0)</x:f>
        <x:v>0.7798298364911513</x:v>
      </x:c>
      <x:c r="AJ18" s="81" t="n">
        <x:f>IFERROR(AJ17/AJ9,0)</x:f>
        <x:v>0.7810366249829822</x:v>
      </x:c>
      <x:c r="AK18" s="81" t="n">
        <x:f>IFERROR(AK17/AK9,0)</x:f>
        <x:v>0.7821619840415842</x:v>
      </x:c>
    </x:row>
    <x:row r="19">
      <x:c r="A19" s="83" t="str"/>
      <x:c r="B19" s="80"/>
      <x:c r="C19" s="80"/>
      <x:c r="D19" s="80"/>
      <x:c r="E19" s="80"/>
      <x:c r="F19" s="80"/>
      <x:c r="G19" s="80"/>
      <x:c r="H19" s="80"/>
      <x:c r="I19" s="80"/>
      <x:c r="J19" s="80"/>
      <x:c r="K19" s="80"/>
      <x:c r="L19" s="80"/>
      <x:c r="M19" s="80"/>
      <x:c r="N19" s="80"/>
      <x:c r="O19" s="80"/>
      <x:c r="P19" s="80"/>
      <x:c r="Q19" s="80"/>
      <x:c r="R19" s="80"/>
      <x:c r="S19" s="80"/>
      <x:c r="T19" s="80"/>
      <x:c r="U19" s="80"/>
      <x:c r="V19" s="80"/>
      <x:c r="W19" s="80"/>
      <x:c r="X19" s="80"/>
      <x:c r="Y19" s="80"/>
      <x:c r="Z19" s="80"/>
      <x:c r="AA19" s="80"/>
      <x:c r="AB19" s="80"/>
      <x:c r="AC19" s="80"/>
      <x:c r="AD19" s="80"/>
      <x:c r="AE19" s="80"/>
      <x:c r="AF19" s="80"/>
      <x:c r="AG19" s="80"/>
      <x:c r="AH19" s="80"/>
      <x:c r="AI19" s="80"/>
      <x:c r="AJ19" s="80"/>
      <x:c r="AK19" s="80"/>
    </x:row>
    <x:row r="20">
      <x:c r="A20" s="82" t="str">
        <x:v>ОПЕРАЦИОННЫЕ РАСХОДЫ</x:v>
      </x:c>
      <x:c r="B20" s="77"/>
      <x:c r="C20" s="77"/>
      <x:c r="D20" s="77"/>
      <x:c r="E20" s="77"/>
      <x:c r="F20" s="77"/>
      <x:c r="G20" s="77"/>
      <x:c r="H20" s="77"/>
      <x:c r="I20" s="77"/>
      <x:c r="J20" s="77"/>
      <x:c r="K20" s="77"/>
      <x:c r="L20" s="77"/>
      <x:c r="M20" s="77"/>
      <x:c r="N20" s="77"/>
      <x:c r="O20" s="77"/>
      <x:c r="P20" s="77"/>
      <x:c r="Q20" s="77"/>
      <x:c r="R20" s="77"/>
      <x:c r="S20" s="77"/>
      <x:c r="T20" s="77"/>
      <x:c r="U20" s="77"/>
      <x:c r="V20" s="77"/>
      <x:c r="W20" s="77"/>
      <x:c r="X20" s="77"/>
      <x:c r="Y20" s="77"/>
      <x:c r="Z20" s="77"/>
      <x:c r="AA20" s="77"/>
      <x:c r="AB20" s="77"/>
      <x:c r="AC20" s="77"/>
      <x:c r="AD20" s="77"/>
      <x:c r="AE20" s="77"/>
      <x:c r="AF20" s="77"/>
      <x:c r="AG20" s="77"/>
      <x:c r="AH20" s="77"/>
      <x:c r="AI20" s="77"/>
      <x:c r="AJ20" s="77"/>
      <x:c r="AK20" s="77"/>
    </x:row>
    <x:row r="21">
      <x:c r="A21" s="83" t="str">
        <x:v>ФОТ и команда + страховые взносы</x:v>
      </x:c>
      <x:c r="B21" s="78" t="n">
        <x:f>'Модель 36м'!B20+IF('Модель 36м'!B10&gt;'Допущения'!$K$35,'Допущения'!$K$36,IF('Модель 36м'!B10&gt;'Допущения'!$K$33,'Допущения'!$K$34,IF('Модель 36м'!B10&gt;'Допущения'!$K$31,'Допущения'!$K$32,IF('Модель 36м'!B10&gt;'Допущения'!$K$29,'Допущения'!$K$30,0))))+'Налоги и господдержка'!J$84</x:f>
        <x:v>2989851.8971962617</x:v>
      </x:c>
      <x:c r="C21" s="78" t="n">
        <x:f>'Модель 36м'!C20+IF('Модель 36м'!C10&gt;'Допущения'!$K$35,'Допущения'!$K$36,IF('Модель 36м'!C10&gt;'Допущения'!$K$33,'Допущения'!$K$34,IF('Модель 36м'!C10&gt;'Допущения'!$K$31,'Допущения'!$K$32,IF('Модель 36м'!C10&gt;'Допущения'!$K$29,'Допущения'!$K$30,0))))+'Налоги и господдержка'!K$84</x:f>
        <x:v>2989851.8971962617</x:v>
      </x:c>
      <x:c r="D21" s="78" t="n">
        <x:f>'Модель 36м'!D20+IF('Модель 36м'!D10&gt;'Допущения'!$K$35,'Допущения'!$K$36,IF('Модель 36м'!D10&gt;'Допущения'!$K$33,'Допущения'!$K$34,IF('Модель 36м'!D10&gt;'Допущения'!$K$31,'Допущения'!$K$32,IF('Модель 36м'!D10&gt;'Допущения'!$K$29,'Допущения'!$K$30,0))))+'Налоги и господдержка'!L$84</x:f>
        <x:v>2989851.8971962617</x:v>
      </x:c>
      <x:c r="E21" s="78" t="n">
        <x:f>'Модель 36м'!E20+IF('Модель 36м'!E10&gt;'Допущения'!$K$35,'Допущения'!$K$36,IF('Модель 36м'!E10&gt;'Допущения'!$K$33,'Допущения'!$K$34,IF('Модель 36м'!E10&gt;'Допущения'!$K$31,'Допущения'!$K$32,IF('Модель 36м'!E10&gt;'Допущения'!$K$29,'Допущения'!$K$30,0))))+'Налоги и господдержка'!M$84</x:f>
        <x:v>3308439.3271028036</x:v>
      </x:c>
      <x:c r="F21" s="78" t="n">
        <x:f>'Модель 36м'!F20+IF('Модель 36м'!F10&gt;'Допущения'!$K$35,'Допущения'!$K$36,IF('Модель 36м'!F10&gt;'Допущения'!$K$33,'Допущения'!$K$34,IF('Модель 36м'!F10&gt;'Допущения'!$K$31,'Допущения'!$K$32,IF('Модель 36м'!F10&gt;'Допущения'!$K$29,'Допущения'!$K$30,0))))+'Налоги и господдержка'!N$84</x:f>
        <x:v>3308439.3271028036</x:v>
      </x:c>
      <x:c r="G21" s="78" t="n">
        <x:f>'Модель 36м'!G20+IF('Модель 36м'!G10&gt;'Допущения'!$K$35,'Допущения'!$K$36,IF('Модель 36м'!G10&gt;'Допущения'!$K$33,'Допущения'!$K$34,IF('Модель 36м'!G10&gt;'Допущения'!$K$31,'Допущения'!$K$32,IF('Модель 36м'!G10&gt;'Допущения'!$K$29,'Допущения'!$K$30,0))))+'Налоги и господдержка'!O$84</x:f>
        <x:v>3308439.3271028036</x:v>
      </x:c>
      <x:c r="H21" s="78" t="n">
        <x:f>'Модель 36м'!H20+IF('Модель 36м'!H10&gt;'Допущения'!$K$35,'Допущения'!$K$36,IF('Модель 36м'!H10&gt;'Допущения'!$K$33,'Допущения'!$K$34,IF('Модель 36м'!H10&gt;'Допущения'!$K$31,'Допущения'!$K$32,IF('Модель 36м'!H10&gt;'Допущения'!$K$29,'Допущения'!$K$30,0))))+'Налоги и господдержка'!P$84</x:f>
        <x:v>4009331.6728971964</x:v>
      </x:c>
      <x:c r="I21" s="78" t="n">
        <x:f>'Модель 36м'!I20+IF('Модель 36м'!I10&gt;'Допущения'!$K$35,'Допущения'!$K$36,IF('Модель 36м'!I10&gt;'Допущения'!$K$33,'Допущения'!$K$34,IF('Модель 36м'!I10&gt;'Допущения'!$K$31,'Допущения'!$K$32,IF('Модель 36м'!I10&gt;'Допущения'!$K$29,'Допущения'!$K$30,0))))+'Налоги и господдержка'!Q$84</x:f>
        <x:v>4259331.672897196</x:v>
      </x:c>
      <x:c r="J21" s="78" t="n">
        <x:f>'Модель 36м'!J20+IF('Модель 36м'!J10&gt;'Допущения'!$K$35,'Допущения'!$K$36,IF('Модель 36м'!J10&gt;'Допущения'!$K$33,'Допущения'!$K$34,IF('Модель 36м'!J10&gt;'Допущения'!$K$31,'Допущения'!$K$32,IF('Модель 36м'!J10&gt;'Допущения'!$K$29,'Допущения'!$K$30,0))))+'Налоги и господдержка'!R$84</x:f>
        <x:v>4259331.672897196</x:v>
      </x:c>
      <x:c r="K21" s="78" t="n">
        <x:f>'Модель 36м'!K20+IF('Модель 36м'!K10&gt;'Допущения'!$K$35,'Допущения'!$K$36,IF('Модель 36м'!K10&gt;'Допущения'!$K$33,'Допущения'!$K$34,IF('Модель 36м'!K10&gt;'Допущения'!$K$31,'Допущения'!$K$32,IF('Модель 36м'!K10&gt;'Допущения'!$K$29,'Допущения'!$K$30,0))))+'Налоги и господдержка'!S$84</x:f>
        <x:v>4577919.102803739</x:v>
      </x:c>
      <x:c r="L21" s="78" t="n">
        <x:f>'Модель 36м'!L20+IF('Модель 36м'!L10&gt;'Допущения'!$K$35,'Допущения'!$K$36,IF('Модель 36м'!L10&gt;'Допущения'!$K$33,'Допущения'!$K$34,IF('Модель 36м'!L10&gt;'Допущения'!$K$31,'Допущения'!$K$32,IF('Модель 36м'!L10&gt;'Допущения'!$K$29,'Допущения'!$K$30,0))))+'Налоги и господдержка'!T$84</x:f>
        <x:v>4577919.102803739</x:v>
      </x:c>
      <x:c r="M21" s="78" t="n">
        <x:f>'Модель 36м'!M20+IF('Модель 36м'!M10&gt;'Допущения'!$K$35,'Допущения'!$K$36,IF('Модель 36м'!M10&gt;'Допущения'!$K$33,'Допущения'!$K$34,IF('Модель 36м'!M10&gt;'Допущения'!$K$31,'Допущения'!$K$32,IF('Модель 36м'!M10&gt;'Допущения'!$K$29,'Допущения'!$K$30,0))))+'Налоги и господдержка'!U$84</x:f>
        <x:v>4577919.102803739</x:v>
      </x:c>
      <x:c r="N21" s="78" t="n">
        <x:f>'Модель 36м'!N20+IF('Модель 36м'!N10&gt;'Допущения'!$K$35,'Допущения'!$K$36,IF('Модель 36м'!N10&gt;'Допущения'!$K$33,'Допущения'!$K$34,IF('Модель 36м'!N10&gt;'Допущения'!$K$31,'Допущения'!$K$32,IF('Модель 36м'!N10&gt;'Допущения'!$K$29,'Допущения'!$K$30,0))))+'Налоги и господдержка'!V$84</x:f>
        <x:v>4755703.25</x:v>
      </x:c>
      <x:c r="O21" s="78" t="n">
        <x:f>'Модель 36м'!O20+IF('Модель 36м'!O10&gt;'Допущения'!$K$35,'Допущения'!$K$36,IF('Модель 36м'!O10&gt;'Допущения'!$K$33,'Допущения'!$K$34,IF('Модель 36м'!O10&gt;'Допущения'!$K$31,'Допущения'!$K$32,IF('Модель 36м'!O10&gt;'Допущения'!$K$29,'Допущения'!$K$30,0))))+'Налоги и господдержка'!W$84</x:f>
        <x:v>4755703.25</x:v>
      </x:c>
      <x:c r="P21" s="78" t="n">
        <x:f>'Модель 36м'!P20+IF('Модель 36м'!P10&gt;'Допущения'!$K$35,'Допущения'!$K$36,IF('Модель 36м'!P10&gt;'Допущения'!$K$33,'Допущения'!$K$34,IF('Модель 36м'!P10&gt;'Допущения'!$K$31,'Допущения'!$K$32,IF('Модель 36м'!P10&gt;'Допущения'!$K$29,'Допущения'!$K$30,0))))+'Налоги и господдержка'!X$84</x:f>
        <x:v>5005703.25</x:v>
      </x:c>
      <x:c r="Q21" s="78" t="n">
        <x:f>'Модель 36м'!Q20+IF('Модель 36м'!Q10&gt;'Допущения'!$K$35,'Допущения'!$K$36,IF('Модель 36м'!Q10&gt;'Допущения'!$K$33,'Допущения'!$K$34,IF('Модель 36м'!Q10&gt;'Допущения'!$K$31,'Допущения'!$K$32,IF('Модель 36м'!Q10&gt;'Допущения'!$K$29,'Допущения'!$K$30,0))))+'Налоги и господдержка'!Y$84</x:f>
        <x:v>5005703.25</x:v>
      </x:c>
      <x:c r="R21" s="78" t="n">
        <x:f>'Модель 36м'!R20+IF('Модель 36м'!R10&gt;'Допущения'!$K$35,'Допущения'!$K$36,IF('Модель 36м'!R10&gt;'Допущения'!$K$33,'Допущения'!$K$34,IF('Модель 36м'!R10&gt;'Допущения'!$K$31,'Допущения'!$K$32,IF('Модель 36м'!R10&gt;'Допущения'!$K$29,'Допущения'!$K$30,0))))+'Налоги и господдержка'!Z$84</x:f>
        <x:v>5005703.25</x:v>
      </x:c>
      <x:c r="S21" s="78" t="n">
        <x:f>'Модель 36м'!S20+IF('Модель 36м'!S10&gt;'Допущения'!$K$35,'Допущения'!$K$36,IF('Модель 36м'!S10&gt;'Допущения'!$K$33,'Допущения'!$K$34,IF('Модель 36м'!S10&gt;'Допущения'!$K$31,'Допущения'!$K$32,IF('Модель 36м'!S10&gt;'Допущения'!$K$29,'Допущения'!$K$30,0))))+'Налоги и господдержка'!AA$84</x:f>
        <x:v>5005703.25</x:v>
      </x:c>
      <x:c r="T21" s="78" t="n">
        <x:f>'Модель 36м'!T20+IF('Модель 36м'!T10&gt;'Допущения'!$K$35,'Допущения'!$K$36,IF('Модель 36м'!T10&gt;'Допущения'!$K$33,'Допущения'!$K$34,IF('Модель 36м'!T10&gt;'Допущения'!$K$31,'Допущения'!$K$32,IF('Модель 36м'!T10&gt;'Допущения'!$K$29,'Допущения'!$K$30,0))))+'Налоги и господдержка'!AB$84</x:f>
        <x:v>5005703.25</x:v>
      </x:c>
      <x:c r="U21" s="78" t="n">
        <x:f>'Модель 36м'!U20+IF('Модель 36м'!U10&gt;'Допущения'!$K$35,'Допущения'!$K$36,IF('Модель 36м'!U10&gt;'Допущения'!$K$33,'Допущения'!$K$34,IF('Модель 36м'!U10&gt;'Допущения'!$K$31,'Допущения'!$K$32,IF('Модель 36м'!U10&gt;'Допущения'!$K$29,'Допущения'!$K$30,0))))+'Налоги и господдержка'!AC$84</x:f>
        <x:v>5005703.25</x:v>
      </x:c>
      <x:c r="V21" s="78" t="n">
        <x:f>'Модель 36м'!V20+IF('Модель 36м'!V10&gt;'Допущения'!$K$35,'Допущения'!$K$36,IF('Модель 36м'!V10&gt;'Допущения'!$K$33,'Допущения'!$K$34,IF('Модель 36м'!V10&gt;'Допущения'!$K$31,'Допущения'!$K$32,IF('Модель 36м'!V10&gt;'Допущения'!$K$29,'Допущения'!$K$30,0))))+'Налоги и господдержка'!AD$84</x:f>
        <x:v>5005703.25</x:v>
      </x:c>
      <x:c r="W21" s="78" t="n">
        <x:f>'Модель 36м'!W20+IF('Модель 36м'!W10&gt;'Допущения'!$K$35,'Допущения'!$K$36,IF('Модель 36м'!W10&gt;'Допущения'!$K$33,'Допущения'!$K$34,IF('Модель 36м'!W10&gt;'Допущения'!$K$31,'Допущения'!$K$32,IF('Модель 36м'!W10&gt;'Допущения'!$K$29,'Допущения'!$K$30,0))))+'Налоги и господдержка'!AE$84</x:f>
        <x:v>5005703.25</x:v>
      </x:c>
      <x:c r="X21" s="78" t="n">
        <x:f>'Модель 36м'!X20+IF('Модель 36м'!X10&gt;'Допущения'!$K$35,'Допущения'!$K$36,IF('Модель 36м'!X10&gt;'Допущения'!$K$33,'Допущения'!$K$34,IF('Модель 36м'!X10&gt;'Допущения'!$K$31,'Допущения'!$K$32,IF('Модель 36м'!X10&gt;'Допущения'!$K$29,'Допущения'!$K$30,0))))+'Налоги и господдержка'!AF$84</x:f>
        <x:v>5005703.25</x:v>
      </x:c>
      <x:c r="Y21" s="78" t="n">
        <x:f>'Модель 36м'!Y20+IF('Модель 36м'!Y10&gt;'Допущения'!$K$35,'Допущения'!$K$36,IF('Модель 36м'!Y10&gt;'Допущения'!$K$33,'Допущения'!$K$34,IF('Модель 36м'!Y10&gt;'Допущения'!$K$31,'Допущения'!$K$32,IF('Модель 36м'!Y10&gt;'Допущения'!$K$29,'Допущения'!$K$30,0))))+'Налоги и господдержка'!AG$84</x:f>
        <x:v>5005703.25</x:v>
      </x:c>
      <x:c r="Z21" s="78" t="n">
        <x:f>'Модель 36м'!Z20+IF('Модель 36м'!Z10&gt;'Допущения'!$K$35,'Допущения'!$K$36,IF('Модель 36м'!Z10&gt;'Допущения'!$K$33,'Допущения'!$K$34,IF('Модель 36м'!Z10&gt;'Допущения'!$K$31,'Допущения'!$K$32,IF('Модель 36м'!Z10&gt;'Допущения'!$K$29,'Допущения'!$K$30,0))))+'Налоги и господдержка'!AH$84</x:f>
        <x:v>5368703.25</x:v>
      </x:c>
      <x:c r="AA21" s="78" t="n">
        <x:f>'Модель 36м'!AA20+IF('Модель 36м'!AA10&gt;'Допущения'!$K$35,'Допущения'!$K$36,IF('Модель 36м'!AA10&gt;'Допущения'!$K$33,'Допущения'!$K$34,IF('Модель 36м'!AA10&gt;'Допущения'!$K$31,'Допущения'!$K$32,IF('Модель 36м'!AA10&gt;'Допущения'!$K$29,'Допущения'!$K$30,0))))+'Налоги и господдержка'!AI$84</x:f>
        <x:v>5718703.25</x:v>
      </x:c>
      <x:c r="AB21" s="78" t="n">
        <x:f>'Модель 36м'!AB20+IF('Модель 36м'!AB10&gt;'Допущения'!$K$35,'Допущения'!$K$36,IF('Модель 36м'!AB10&gt;'Допущения'!$K$33,'Допущения'!$K$34,IF('Модель 36м'!AB10&gt;'Допущения'!$K$31,'Допущения'!$K$32,IF('Модель 36м'!AB10&gt;'Допущения'!$K$29,'Допущения'!$K$30,0))))+'Налоги и господдержка'!AJ$84</x:f>
        <x:v>5718703.25</x:v>
      </x:c>
      <x:c r="AC21" s="78" t="n">
        <x:f>'Модель 36м'!AC20+IF('Модель 36м'!AC10&gt;'Допущения'!$K$35,'Допущения'!$K$36,IF('Модель 36м'!AC10&gt;'Допущения'!$K$33,'Допущения'!$K$34,IF('Модель 36м'!AC10&gt;'Допущения'!$K$31,'Допущения'!$K$32,IF('Модель 36м'!AC10&gt;'Допущения'!$K$29,'Допущения'!$K$30,0))))+'Налоги и господдержка'!AK$84</x:f>
        <x:v>5718703.25</x:v>
      </x:c>
      <x:c r="AD21" s="78" t="n">
        <x:f>'Модель 36м'!AD20+IF('Модель 36м'!AD10&gt;'Допущения'!$K$35,'Допущения'!$K$36,IF('Модель 36м'!AD10&gt;'Допущения'!$K$33,'Допущения'!$K$34,IF('Модель 36м'!AD10&gt;'Допущения'!$K$31,'Допущения'!$K$32,IF('Модель 36м'!AD10&gt;'Допущения'!$K$29,'Допущения'!$K$30,0))))+'Налоги и господдержка'!AL$84</x:f>
        <x:v>5718703.25</x:v>
      </x:c>
      <x:c r="AE21" s="78" t="n">
        <x:f>'Модель 36м'!AE20+IF('Модель 36м'!AE10&gt;'Допущения'!$K$35,'Допущения'!$K$36,IF('Модель 36м'!AE10&gt;'Допущения'!$K$33,'Допущения'!$K$34,IF('Модель 36м'!AE10&gt;'Допущения'!$K$31,'Допущения'!$K$32,IF('Модель 36м'!AE10&gt;'Допущения'!$K$29,'Допущения'!$K$30,0))))+'Налоги и господдержка'!AM$84</x:f>
        <x:v>5718703.25</x:v>
      </x:c>
      <x:c r="AF21" s="78" t="n">
        <x:f>'Модель 36м'!AF20+IF('Модель 36м'!AF10&gt;'Допущения'!$K$35,'Допущения'!$K$36,IF('Модель 36м'!AF10&gt;'Допущения'!$K$33,'Допущения'!$K$34,IF('Модель 36м'!AF10&gt;'Допущения'!$K$31,'Допущения'!$K$32,IF('Модель 36м'!AF10&gt;'Допущения'!$K$29,'Допущения'!$K$30,0))))+'Налоги и господдержка'!AN$84</x:f>
        <x:v>5718703.25</x:v>
      </x:c>
      <x:c r="AG21" s="78" t="n">
        <x:f>'Модель 36м'!AG20+IF('Модель 36м'!AG10&gt;'Допущения'!$K$35,'Допущения'!$K$36,IF('Модель 36м'!AG10&gt;'Допущения'!$K$33,'Допущения'!$K$34,IF('Модель 36м'!AG10&gt;'Допущения'!$K$31,'Допущения'!$K$32,IF('Модель 36м'!AG10&gt;'Допущения'!$K$29,'Допущения'!$K$30,0))))+'Налоги и господдержка'!AO$84</x:f>
        <x:v>5718703.25</x:v>
      </x:c>
      <x:c r="AH21" s="78" t="n">
        <x:f>'Модель 36м'!AH20+IF('Модель 36м'!AH10&gt;'Допущения'!$K$35,'Допущения'!$K$36,IF('Модель 36м'!AH10&gt;'Допущения'!$K$33,'Допущения'!$K$34,IF('Модель 36м'!AH10&gt;'Допущения'!$K$31,'Допущения'!$K$32,IF('Модель 36м'!AH10&gt;'Допущения'!$K$29,'Допущения'!$K$30,0))))+'Налоги и господдержка'!AP$84</x:f>
        <x:v>5718703.25</x:v>
      </x:c>
      <x:c r="AI21" s="78" t="n">
        <x:f>'Модель 36м'!AI20+IF('Модель 36м'!AI10&gt;'Допущения'!$K$35,'Допущения'!$K$36,IF('Модель 36м'!AI10&gt;'Допущения'!$K$33,'Допущения'!$K$34,IF('Модель 36м'!AI10&gt;'Допущения'!$K$31,'Допущения'!$K$32,IF('Модель 36м'!AI10&gt;'Допущения'!$K$29,'Допущения'!$K$30,0))))+'Налоги и господдержка'!AQ$84</x:f>
        <x:v>5718703.25</x:v>
      </x:c>
      <x:c r="AJ21" s="78" t="n">
        <x:f>'Модель 36м'!AJ20+IF('Модель 36м'!AJ10&gt;'Допущения'!$K$35,'Допущения'!$K$36,IF('Модель 36м'!AJ10&gt;'Допущения'!$K$33,'Допущения'!$K$34,IF('Модель 36м'!AJ10&gt;'Допущения'!$K$31,'Допущения'!$K$32,IF('Модель 36м'!AJ10&gt;'Допущения'!$K$29,'Допущения'!$K$30,0))))+'Налоги и господдержка'!AR$84</x:f>
        <x:v>5718703.25</x:v>
      </x:c>
      <x:c r="AK21" s="78" t="n">
        <x:f>'Модель 36м'!AK20+IF('Модель 36м'!AK10&gt;'Допущения'!$K$35,'Допущения'!$K$36,IF('Модель 36м'!AK10&gt;'Допущения'!$K$33,'Допущения'!$K$34,IF('Модель 36м'!AK10&gt;'Допущения'!$K$31,'Допущения'!$K$32,IF('Модель 36м'!AK10&gt;'Допущения'!$K$29,'Допущения'!$K$30,0))))+'Налоги и господдержка'!AS$84</x:f>
        <x:v>5718703.25</x:v>
      </x:c>
    </x:row>
    <x:row r="22">
      <x:c r="A22" s="83" t="str">
        <x:v>Постоянная инфраструктура</x:v>
      </x:c>
      <x:c r="B22" s="78" t="n">
        <x:f>'Допущения'!$K$20</x:f>
        <x:v>100000</x:v>
      </x:c>
      <x:c r="C22" s="78" t="n">
        <x:f>'Допущения'!$K$20</x:f>
        <x:v>100000</x:v>
      </x:c>
      <x:c r="D22" s="78" t="n">
        <x:f>'Допущения'!$K$20</x:f>
        <x:v>100000</x:v>
      </x:c>
      <x:c r="E22" s="78" t="n">
        <x:f>'Допущения'!$K$20</x:f>
        <x:v>100000</x:v>
      </x:c>
      <x:c r="F22" s="78" t="n">
        <x:f>'Допущения'!$K$20</x:f>
        <x:v>100000</x:v>
      </x:c>
      <x:c r="G22" s="78" t="n">
        <x:f>'Допущения'!$K$20</x:f>
        <x:v>100000</x:v>
      </x:c>
      <x:c r="H22" s="78" t="n">
        <x:f>'Допущения'!$K$20</x:f>
        <x:v>100000</x:v>
      </x:c>
      <x:c r="I22" s="78" t="n">
        <x:f>'Допущения'!$K$20</x:f>
        <x:v>100000</x:v>
      </x:c>
      <x:c r="J22" s="78" t="n">
        <x:f>'Допущения'!$K$20</x:f>
        <x:v>100000</x:v>
      </x:c>
      <x:c r="K22" s="78" t="n">
        <x:f>'Допущения'!$K$20</x:f>
        <x:v>100000</x:v>
      </x:c>
      <x:c r="L22" s="78" t="n">
        <x:f>'Допущения'!$K$20</x:f>
        <x:v>100000</x:v>
      </x:c>
      <x:c r="M22" s="78" t="n">
        <x:f>'Допущения'!$K$20</x:f>
        <x:v>100000</x:v>
      </x:c>
      <x:c r="N22" s="78" t="n">
        <x:f>'Допущения'!$K$20</x:f>
        <x:v>100000</x:v>
      </x:c>
      <x:c r="O22" s="78" t="n">
        <x:f>'Допущения'!$K$20</x:f>
        <x:v>100000</x:v>
      </x:c>
      <x:c r="P22" s="78" t="n">
        <x:f>'Допущения'!$K$20</x:f>
        <x:v>100000</x:v>
      </x:c>
      <x:c r="Q22" s="78" t="n">
        <x:f>'Допущения'!$K$20</x:f>
        <x:v>100000</x:v>
      </x:c>
      <x:c r="R22" s="78" t="n">
        <x:f>'Допущения'!$K$20</x:f>
        <x:v>100000</x:v>
      </x:c>
      <x:c r="S22" s="78" t="n">
        <x:f>'Допущения'!$K$20</x:f>
        <x:v>100000</x:v>
      </x:c>
      <x:c r="T22" s="78" t="n">
        <x:f>'Допущения'!$K$20</x:f>
        <x:v>100000</x:v>
      </x:c>
      <x:c r="U22" s="78" t="n">
        <x:f>'Допущения'!$K$20</x:f>
        <x:v>100000</x:v>
      </x:c>
      <x:c r="V22" s="78" t="n">
        <x:f>'Допущения'!$K$20</x:f>
        <x:v>100000</x:v>
      </x:c>
      <x:c r="W22" s="78" t="n">
        <x:f>'Допущения'!$K$20</x:f>
        <x:v>100000</x:v>
      </x:c>
      <x:c r="X22" s="78" t="n">
        <x:f>'Допущения'!$K$20</x:f>
        <x:v>100000</x:v>
      </x:c>
      <x:c r="Y22" s="78" t="n">
        <x:f>'Допущения'!$K$20</x:f>
        <x:v>100000</x:v>
      </x:c>
      <x:c r="Z22" s="78" t="n">
        <x:f>'Допущения'!$K$20</x:f>
        <x:v>100000</x:v>
      </x:c>
      <x:c r="AA22" s="78" t="n">
        <x:f>'Допущения'!$K$20</x:f>
        <x:v>100000</x:v>
      </x:c>
      <x:c r="AB22" s="78" t="n">
        <x:f>'Допущения'!$K$20</x:f>
        <x:v>100000</x:v>
      </x:c>
      <x:c r="AC22" s="78" t="n">
        <x:f>'Допущения'!$K$20</x:f>
        <x:v>100000</x:v>
      </x:c>
      <x:c r="AD22" s="78" t="n">
        <x:f>'Допущения'!$K$20</x:f>
        <x:v>100000</x:v>
      </x:c>
      <x:c r="AE22" s="78" t="n">
        <x:f>'Допущения'!$K$20</x:f>
        <x:v>100000</x:v>
      </x:c>
      <x:c r="AF22" s="78" t="n">
        <x:f>'Допущения'!$K$20</x:f>
        <x:v>100000</x:v>
      </x:c>
      <x:c r="AG22" s="78" t="n">
        <x:f>'Допущения'!$K$20</x:f>
        <x:v>100000</x:v>
      </x:c>
      <x:c r="AH22" s="78" t="n">
        <x:f>'Допущения'!$K$20</x:f>
        <x:v>100000</x:v>
      </x:c>
      <x:c r="AI22" s="78" t="n">
        <x:f>'Допущения'!$K$20</x:f>
        <x:v>100000</x:v>
      </x:c>
      <x:c r="AJ22" s="78" t="n">
        <x:f>'Допущения'!$K$20</x:f>
        <x:v>100000</x:v>
      </x:c>
      <x:c r="AK22" s="78" t="n">
        <x:f>'Допущения'!$K$20</x:f>
        <x:v>100000</x:v>
      </x:c>
    </x:row>
    <x:row r="23">
      <x:c r="A23" s="83" t="str">
        <x:v>Продажи и маркетинг</x:v>
      </x:c>
      <x:c r="B23" s="78" t="n">
        <x:f>'Допущения'!$K$22</x:f>
        <x:v>300000</x:v>
      </x:c>
      <x:c r="C23" s="78" t="n">
        <x:f>'Допущения'!$K$22</x:f>
        <x:v>300000</x:v>
      </x:c>
      <x:c r="D23" s="78" t="n">
        <x:f>'Допущения'!$K$22</x:f>
        <x:v>300000</x:v>
      </x:c>
      <x:c r="E23" s="78" t="n">
        <x:f>'Допущения'!$K$23</x:f>
        <x:v>550000</x:v>
      </x:c>
      <x:c r="F23" s="78" t="n">
        <x:f>'Допущения'!$K$23</x:f>
        <x:v>550000</x:v>
      </x:c>
      <x:c r="G23" s="78" t="n">
        <x:f>'Допущения'!$K$23</x:f>
        <x:v>550000</x:v>
      </x:c>
      <x:c r="H23" s="78" t="n">
        <x:f>'Допущения'!$K$23</x:f>
        <x:v>550000</x:v>
      </x:c>
      <x:c r="I23" s="78" t="n">
        <x:f>'Допущения'!$K$23</x:f>
        <x:v>550000</x:v>
      </x:c>
      <x:c r="J23" s="78" t="n">
        <x:f>'Допущения'!$K$23</x:f>
        <x:v>550000</x:v>
      </x:c>
      <x:c r="K23" s="78" t="n">
        <x:f>'Допущения'!$K$23</x:f>
        <x:v>550000</x:v>
      </x:c>
      <x:c r="L23" s="78" t="n">
        <x:f>'Допущения'!$K$23</x:f>
        <x:v>550000</x:v>
      </x:c>
      <x:c r="M23" s="78" t="n">
        <x:f>'Допущения'!$K$23</x:f>
        <x:v>550000</x:v>
      </x:c>
      <x:c r="N23" s="78" t="n">
        <x:f>'Допущения'!$K$23</x:f>
        <x:v>550000</x:v>
      </x:c>
      <x:c r="O23" s="78" t="n">
        <x:f>'Допущения'!$K$23</x:f>
        <x:v>550000</x:v>
      </x:c>
      <x:c r="P23" s="78" t="n">
        <x:f>'Допущения'!$K$23</x:f>
        <x:v>550000</x:v>
      </x:c>
      <x:c r="Q23" s="78" t="n">
        <x:f>'Допущения'!$K$23</x:f>
        <x:v>550000</x:v>
      </x:c>
      <x:c r="R23" s="78" t="n">
        <x:f>'Допущения'!$K$23</x:f>
        <x:v>550000</x:v>
      </x:c>
      <x:c r="S23" s="78" t="n">
        <x:f>'Допущения'!$K$23</x:f>
        <x:v>550000</x:v>
      </x:c>
      <x:c r="T23" s="78" t="n">
        <x:f>'Допущения'!$K$23</x:f>
        <x:v>550000</x:v>
      </x:c>
      <x:c r="U23" s="78" t="n">
        <x:f>'Допущения'!$K$23</x:f>
        <x:v>550000</x:v>
      </x:c>
      <x:c r="V23" s="78" t="n">
        <x:f>'Допущения'!$K$23</x:f>
        <x:v>550000</x:v>
      </x:c>
      <x:c r="W23" s="78" t="n">
        <x:f>'Допущения'!$K$23</x:f>
        <x:v>550000</x:v>
      </x:c>
      <x:c r="X23" s="78" t="n">
        <x:f>'Допущения'!$K$23</x:f>
        <x:v>550000</x:v>
      </x:c>
      <x:c r="Y23" s="78" t="n">
        <x:f>'Допущения'!$K$23</x:f>
        <x:v>550000</x:v>
      </x:c>
      <x:c r="Z23" s="78" t="n">
        <x:f>'Допущения'!$K$23</x:f>
        <x:v>550000</x:v>
      </x:c>
      <x:c r="AA23" s="78" t="n">
        <x:f>'Допущения'!$K$23</x:f>
        <x:v>550000</x:v>
      </x:c>
      <x:c r="AB23" s="78" t="n">
        <x:f>'Допущения'!$K$23</x:f>
        <x:v>550000</x:v>
      </x:c>
      <x:c r="AC23" s="78" t="n">
        <x:f>'Допущения'!$K$23</x:f>
        <x:v>550000</x:v>
      </x:c>
      <x:c r="AD23" s="78" t="n">
        <x:f>'Допущения'!$K$23</x:f>
        <x:v>550000</x:v>
      </x:c>
      <x:c r="AE23" s="78" t="n">
        <x:f>'Допущения'!$K$23</x:f>
        <x:v>550000</x:v>
      </x:c>
      <x:c r="AF23" s="78" t="n">
        <x:f>'Допущения'!$K$23</x:f>
        <x:v>550000</x:v>
      </x:c>
      <x:c r="AG23" s="78" t="n">
        <x:f>'Допущения'!$K$23</x:f>
        <x:v>550000</x:v>
      </x:c>
      <x:c r="AH23" s="78" t="n">
        <x:f>'Допущения'!$K$23</x:f>
        <x:v>550000</x:v>
      </x:c>
      <x:c r="AI23" s="78" t="n">
        <x:f>'Допущения'!$K$23</x:f>
        <x:v>550000</x:v>
      </x:c>
      <x:c r="AJ23" s="78" t="n">
        <x:f>'Допущения'!$K$23</x:f>
        <x:v>550000</x:v>
      </x:c>
      <x:c r="AK23" s="78" t="n">
        <x:f>'Допущения'!$K$23</x:f>
        <x:v>550000</x:v>
      </x:c>
    </x:row>
    <x:row r="24">
      <x:c r="A24" s="83" t="str">
        <x:v>Административные / юридические / прочие</x:v>
      </x:c>
      <x:c r="B24" s="78" t="n">
        <x:f>'Допущения'!$K$24</x:f>
        <x:v>250000</x:v>
      </x:c>
      <x:c r="C24" s="78" t="n">
        <x:f>'Допущения'!$K$24</x:f>
        <x:v>250000</x:v>
      </x:c>
      <x:c r="D24" s="78" t="n">
        <x:f>'Допущения'!$K$24</x:f>
        <x:v>250000</x:v>
      </x:c>
      <x:c r="E24" s="78" t="n">
        <x:f>'Допущения'!$K$24</x:f>
        <x:v>250000</x:v>
      </x:c>
      <x:c r="F24" s="78" t="n">
        <x:f>'Допущения'!$K$24</x:f>
        <x:v>250000</x:v>
      </x:c>
      <x:c r="G24" s="78" t="n">
        <x:f>'Допущения'!$K$24</x:f>
        <x:v>250000</x:v>
      </x:c>
      <x:c r="H24" s="78" t="n">
        <x:f>'Допущения'!$K$24</x:f>
        <x:v>250000</x:v>
      </x:c>
      <x:c r="I24" s="78" t="n">
        <x:f>'Допущения'!$K$24</x:f>
        <x:v>250000</x:v>
      </x:c>
      <x:c r="J24" s="78" t="n">
        <x:f>'Допущения'!$K$24</x:f>
        <x:v>250000</x:v>
      </x:c>
      <x:c r="K24" s="78" t="n">
        <x:f>'Допущения'!$K$24</x:f>
        <x:v>250000</x:v>
      </x:c>
      <x:c r="L24" s="78" t="n">
        <x:f>'Допущения'!$K$24</x:f>
        <x:v>250000</x:v>
      </x:c>
      <x:c r="M24" s="78" t="n">
        <x:f>'Допущения'!$K$24</x:f>
        <x:v>250000</x:v>
      </x:c>
      <x:c r="N24" s="78" t="n">
        <x:f>'Допущения'!$K$24</x:f>
        <x:v>250000</x:v>
      </x:c>
      <x:c r="O24" s="78" t="n">
        <x:f>'Допущения'!$K$24</x:f>
        <x:v>250000</x:v>
      </x:c>
      <x:c r="P24" s="78" t="n">
        <x:f>'Допущения'!$K$24</x:f>
        <x:v>250000</x:v>
      </x:c>
      <x:c r="Q24" s="78" t="n">
        <x:f>'Допущения'!$K$24</x:f>
        <x:v>250000</x:v>
      </x:c>
      <x:c r="R24" s="78" t="n">
        <x:f>'Допущения'!$K$24</x:f>
        <x:v>250000</x:v>
      </x:c>
      <x:c r="S24" s="78" t="n">
        <x:f>'Допущения'!$K$24</x:f>
        <x:v>250000</x:v>
      </x:c>
      <x:c r="T24" s="78" t="n">
        <x:f>'Допущения'!$K$24</x:f>
        <x:v>250000</x:v>
      </x:c>
      <x:c r="U24" s="78" t="n">
        <x:f>'Допущения'!$K$24</x:f>
        <x:v>250000</x:v>
      </x:c>
      <x:c r="V24" s="78" t="n">
        <x:f>'Допущения'!$K$24</x:f>
        <x:v>250000</x:v>
      </x:c>
      <x:c r="W24" s="78" t="n">
        <x:f>'Допущения'!$K$24</x:f>
        <x:v>250000</x:v>
      </x:c>
      <x:c r="X24" s="78" t="n">
        <x:f>'Допущения'!$K$24</x:f>
        <x:v>250000</x:v>
      </x:c>
      <x:c r="Y24" s="78" t="n">
        <x:f>'Допущения'!$K$24</x:f>
        <x:v>250000</x:v>
      </x:c>
      <x:c r="Z24" s="78" t="n">
        <x:f>'Допущения'!$K$24</x:f>
        <x:v>250000</x:v>
      </x:c>
      <x:c r="AA24" s="78" t="n">
        <x:f>'Допущения'!$K$24</x:f>
        <x:v>250000</x:v>
      </x:c>
      <x:c r="AB24" s="78" t="n">
        <x:f>'Допущения'!$K$24</x:f>
        <x:v>250000</x:v>
      </x:c>
      <x:c r="AC24" s="78" t="n">
        <x:f>'Допущения'!$K$24</x:f>
        <x:v>250000</x:v>
      </x:c>
      <x:c r="AD24" s="78" t="n">
        <x:f>'Допущения'!$K$24</x:f>
        <x:v>250000</x:v>
      </x:c>
      <x:c r="AE24" s="78" t="n">
        <x:f>'Допущения'!$K$24</x:f>
        <x:v>250000</x:v>
      </x:c>
      <x:c r="AF24" s="78" t="n">
        <x:f>'Допущения'!$K$24</x:f>
        <x:v>250000</x:v>
      </x:c>
      <x:c r="AG24" s="78" t="n">
        <x:f>'Допущения'!$K$24</x:f>
        <x:v>250000</x:v>
      </x:c>
      <x:c r="AH24" s="78" t="n">
        <x:f>'Допущения'!$K$24</x:f>
        <x:v>250000</x:v>
      </x:c>
      <x:c r="AI24" s="78" t="n">
        <x:f>'Допущения'!$K$24</x:f>
        <x:v>250000</x:v>
      </x:c>
      <x:c r="AJ24" s="78" t="n">
        <x:f>'Допущения'!$K$24</x:f>
        <x:v>250000</x:v>
      </x:c>
      <x:c r="AK24" s="78" t="n">
        <x:f>'Допущения'!$K$24</x:f>
        <x:v>250000</x:v>
      </x:c>
    </x:row>
    <x:row r="25">
      <x:c r="A25" s="84" t="str">
        <x:v>Итого операционные расходы</x:v>
      </x:c>
      <x:c r="B25" s="79" t="n">
        <x:f>SUM(B21:B24)</x:f>
        <x:v>3639851.8971962617</x:v>
      </x:c>
      <x:c r="C25" s="79" t="n">
        <x:f>SUM(C21:C24)</x:f>
        <x:v>3639851.8971962617</x:v>
      </x:c>
      <x:c r="D25" s="79" t="n">
        <x:f>SUM(D21:D24)</x:f>
        <x:v>3639851.8971962617</x:v>
      </x:c>
      <x:c r="E25" s="79" t="n">
        <x:f>SUM(E21:E24)</x:f>
        <x:v>4208439.327102804</x:v>
      </x:c>
      <x:c r="F25" s="79" t="n">
        <x:f>SUM(F21:F24)</x:f>
        <x:v>4208439.327102804</x:v>
      </x:c>
      <x:c r="G25" s="79" t="n">
        <x:f>SUM(G21:G24)</x:f>
        <x:v>4208439.327102804</x:v>
      </x:c>
      <x:c r="H25" s="79" t="n">
        <x:f>SUM(H21:H24)</x:f>
        <x:v>4909331.672897196</x:v>
      </x:c>
      <x:c r="I25" s="79" t="n">
        <x:f>SUM(I21:I24)</x:f>
        <x:v>5159331.672897196</x:v>
      </x:c>
      <x:c r="J25" s="79" t="n">
        <x:f>SUM(J21:J24)</x:f>
        <x:v>5159331.672897196</x:v>
      </x:c>
      <x:c r="K25" s="79" t="n">
        <x:f>SUM(K21:K24)</x:f>
        <x:v>5477919.102803739</x:v>
      </x:c>
      <x:c r="L25" s="79" t="n">
        <x:f>SUM(L21:L24)</x:f>
        <x:v>5477919.102803739</x:v>
      </x:c>
      <x:c r="M25" s="79" t="n">
        <x:f>SUM(M21:M24)</x:f>
        <x:v>5477919.102803739</x:v>
      </x:c>
      <x:c r="N25" s="79" t="n">
        <x:f>SUM(N21:N24)</x:f>
        <x:v>5655703.25</x:v>
      </x:c>
      <x:c r="O25" s="79" t="n">
        <x:f>SUM(O21:O24)</x:f>
        <x:v>5655703.25</x:v>
      </x:c>
      <x:c r="P25" s="79" t="n">
        <x:f>SUM(P21:P24)</x:f>
        <x:v>5905703.25</x:v>
      </x:c>
      <x:c r="Q25" s="79" t="n">
        <x:f>SUM(Q21:Q24)</x:f>
        <x:v>5905703.25</x:v>
      </x:c>
      <x:c r="R25" s="79" t="n">
        <x:f>SUM(R21:R24)</x:f>
        <x:v>5905703.25</x:v>
      </x:c>
      <x:c r="S25" s="79" t="n">
        <x:f>SUM(S21:S24)</x:f>
        <x:v>5905703.25</x:v>
      </x:c>
      <x:c r="T25" s="79" t="n">
        <x:f>SUM(T21:T24)</x:f>
        <x:v>5905703.25</x:v>
      </x:c>
      <x:c r="U25" s="79" t="n">
        <x:f>SUM(U21:U24)</x:f>
        <x:v>5905703.25</x:v>
      </x:c>
      <x:c r="V25" s="79" t="n">
        <x:f>SUM(V21:V24)</x:f>
        <x:v>5905703.25</x:v>
      </x:c>
      <x:c r="W25" s="79" t="n">
        <x:f>SUM(W21:W24)</x:f>
        <x:v>5905703.25</x:v>
      </x:c>
      <x:c r="X25" s="79" t="n">
        <x:f>SUM(X21:X24)</x:f>
        <x:v>5905703.25</x:v>
      </x:c>
      <x:c r="Y25" s="79" t="n">
        <x:f>SUM(Y21:Y24)</x:f>
        <x:v>5905703.25</x:v>
      </x:c>
      <x:c r="Z25" s="79" t="n">
        <x:f>SUM(Z21:Z24)</x:f>
        <x:v>6268703.25</x:v>
      </x:c>
      <x:c r="AA25" s="79" t="n">
        <x:f>SUM(AA21:AA24)</x:f>
        <x:v>6618703.25</x:v>
      </x:c>
      <x:c r="AB25" s="79" t="n">
        <x:f>SUM(AB21:AB24)</x:f>
        <x:v>6618703.25</x:v>
      </x:c>
      <x:c r="AC25" s="79" t="n">
        <x:f>SUM(AC21:AC24)</x:f>
        <x:v>6618703.25</x:v>
      </x:c>
      <x:c r="AD25" s="79" t="n">
        <x:f>SUM(AD21:AD24)</x:f>
        <x:v>6618703.25</x:v>
      </x:c>
      <x:c r="AE25" s="79" t="n">
        <x:f>SUM(AE21:AE24)</x:f>
        <x:v>6618703.25</x:v>
      </x:c>
      <x:c r="AF25" s="79" t="n">
        <x:f>SUM(AF21:AF24)</x:f>
        <x:v>6618703.25</x:v>
      </x:c>
      <x:c r="AG25" s="79" t="n">
        <x:f>SUM(AG21:AG24)</x:f>
        <x:v>6618703.25</x:v>
      </x:c>
      <x:c r="AH25" s="79" t="n">
        <x:f>SUM(AH21:AH24)</x:f>
        <x:v>6618703.25</x:v>
      </x:c>
      <x:c r="AI25" s="79" t="n">
        <x:f>SUM(AI21:AI24)</x:f>
        <x:v>6618703.25</x:v>
      </x:c>
      <x:c r="AJ25" s="79" t="n">
        <x:f>SUM(AJ21:AJ24)</x:f>
        <x:v>6618703.25</x:v>
      </x:c>
      <x:c r="AK25" s="79" t="n">
        <x:f>SUM(AK21:AK24)</x:f>
        <x:v>6618703.25</x:v>
      </x:c>
    </x:row>
    <x:row r="26">
      <x:c r="A26" s="84" t="str">
        <x:v>Операционная прибыль до процентов, налогов и амортизации</x:v>
      </x:c>
      <x:c r="B26" s="79" t="n">
        <x:f>B17-B25</x:f>
        <x:v>-2734851.897196261</x:v>
      </x:c>
      <x:c r="C26" s="79" t="n">
        <x:f>C17-C25</x:f>
        <x:v>-2101951.8971962617</x:v>
      </x:c>
      <x:c r="D26" s="79" t="n">
        <x:f>D17-D25</x:f>
        <x:v>-1833155.8971962617</x:v>
      </x:c>
      <x:c r="E26" s="79" t="n">
        <x:f>E17-E25</x:f>
        <x:v>-1625535.2871028031</x:v>
      </x:c>
      <x:c r="F26" s="79" t="n">
        <x:f>F17-F25</x:f>
        <x:v>-1271888.3275028025</x:v>
      </x:c>
      <x:c r="G26" s="79" t="n">
        <x:f>G17-G25</x:f>
        <x:v>-921777.8374988027</x:v>
      </x:c>
      <x:c r="H26" s="79" t="n">
        <x:f>H17-H25</x:f>
        <x:v>-742920.7981892359</x:v>
      </x:c>
      <x:c r="I26" s="79" t="n">
        <x:f>I17-I25</x:f>
        <x:v>-559577.5069363164</x:v>
      </x:c>
      <x:c r="J26" s="79" t="n">
        <x:f>J17-J25</x:f>
        <x:v>-130567.64859592449</x:v>
      </x:c>
      <x:c r="K26" s="79" t="n">
        <x:f>K17-K25</x:f>
        <x:v>36505.481254519895</x:v>
      </x:c>
      <x:c r="L26" s="79" t="n">
        <x:f>L17-L25</x:f>
        <x:v>456978.043413938</x:v>
      </x:c>
      <x:c r="M26" s="79" t="n">
        <x:f>M17-M25</x:f>
        <x:v>873245.8799517602</x:v>
      </x:c>
      <x:c r="N26" s="79" t="n">
        <x:f>N17-N25</x:f>
        <x:v>1667181.6941279452</x:v>
      </x:c>
      <x:c r="O26" s="79" t="n">
        <x:f>O17-O25</x:f>
        <x:v>2165365.800718665</x:v>
      </x:c>
      <x:c r="P26" s="79" t="n">
        <x:f>P17-P25</x:f>
        <x:v>2408568.06624348</x:v>
      </x:c>
      <x:c r="Q26" s="79" t="n">
        <x:f>Q17-Q25</x:f>
        <x:v>2958734.660857044</x:v>
      </x:c>
      <x:c r="R26" s="79" t="n">
        <x:f>R17-R25</x:f>
        <x:v>3442122.2012979146</x:v>
      </x:c>
      <x:c r="S26" s="79" t="n">
        <x:f>S17-S25</x:f>
        <x:v>3920675.866334377</x:v>
      </x:c>
      <x:c r="T26" s="79" t="n">
        <x:f>T17-T25</x:f>
        <x:v>4451388.638324954</x:v>
      </x:c>
      <x:c r="U26" s="79" t="n">
        <x:f>U17-U25</x:f>
        <x:v>4920419.085427187</x:v>
      </x:c>
      <x:c r="V26" s="79" t="n">
        <x:f>V17-V25</x:f>
        <x:v>5384759.2280584015</x:v>
      </x:c>
      <x:c r="W26" s="79" t="n">
        <x:f>W17-W25</x:f>
        <x:v>5896845.041379422</x:v>
      </x:c>
      <x:c r="X26" s="79" t="n">
        <x:f>X17-X25</x:f>
        <x:v>6351944.8151722755</x:v>
      </x:c>
      <x:c r="Y26" s="79" t="n">
        <x:f>Y17-Y25</x:f>
        <x:v>6802493.5912272</x:v>
      </x:c>
      <x:c r="Z26" s="79" t="n">
        <x:f>Z17-Z25</x:f>
        <x:v>9094217.23720936</x:v>
      </x:c>
      <x:c r="AA26" s="79" t="n">
        <x:f>AA17-AA25</x:f>
        <x:v>9546600.092620792</x:v>
      </x:c>
      <x:c r="AB26" s="79" t="n">
        <x:f>AB17-AB25</x:f>
        <x:v>10340959.119478106</x:v>
      </x:c>
      <x:c r="AC26" s="79" t="n">
        <x:f>AC17-AC25</x:f>
        <x:v>11201278.073798656</x:v>
      </x:c>
      <x:c r="AD26" s="79" t="n">
        <x:f>AD17-AD25</x:f>
        <x:v>11979829.356021512</x:v>
      </x:c>
      <x:c r="AE26" s="79" t="n">
        <x:f>AE17-AE25</x:f>
        <x:v>12750595.125422142</x:v>
      </x:c>
      <x:c r="AF26" s="79" t="n">
        <x:f>AF17-AF25</x:f>
        <x:v>13581644.473442025</x:v>
      </x:c>
      <x:c r="AG26" s="79" t="n">
        <x:f>AG17-AG25</x:f>
        <x:v>14337072.004031584</x:v>
      </x:c>
      <x:c r="AH26" s="79" t="n">
        <x:f>AH17-AH25</x:f>
        <x:v>15084945.259315245</x:v>
      </x:c>
      <x:c r="AI26" s="79" t="n">
        <x:f>AI17-AI25</x:f>
        <x:v>15887891.719454266</x:v>
      </x:c>
      <x:c r="AJ26" s="79" t="n">
        <x:f>AJ17-AJ25</x:f>
        <x:v>16620882.296957783</x:v>
      </x:c>
      <x:c r="AK26" s="79" t="n">
        <x:f>AK17-AK25</x:f>
        <x:v>17346542.968686264</x:v>
      </x:c>
    </x:row>
    <x:row r="27">
      <x:c r="A27" s="83" t="str">
        <x:v>Операционная маржа</x:v>
      </x:c>
      <x:c r="B27" s="81" t="n">
        <x:f>IFERROR(B26/B9,0)</x:f>
        <x:v>-1.6574859983007642</x:v>
      </x:c>
      <x:c r="C27" s="81" t="n">
        <x:f>IFERROR(C26/C9,0)</x:f>
        <x:v>-0.7799450453418411</x:v>
      </x:c>
      <x:c r="D27" s="81" t="n">
        <x:f>IFERROR(D26/D9,0)</x:f>
        <x:v>-0.6064429989401422</x:v>
      </x:c>
      <x:c r="E27" s="81" t="n">
        <x:f>IFERROR(E26/E9,0)</x:f>
        <x:v>-0.38959967306042126</x:v>
      </x:c>
      <x:c r="F27" s="81" t="n">
        <x:f>IFERROR(F26/F9,0)</x:f>
        <x:v>-0.2762813156151723</x:v>
      </x:c>
      <x:c r="G27" s="81" t="n">
        <x:f>IFERROR(G26/G9,0)</x:f>
        <x:v>-0.18323552961669412</x:v>
      </x:c>
      <x:c r="H27" s="81" t="n">
        <x:f>IFERROR(H26/H9,0)</x:f>
        <x:v>-0.11833232993645168</x:v>
      </x:c>
      <x:c r="I27" s="81" t="n">
        <x:f>IFERROR(I26/I9,0)</x:f>
        <x:v>-0.08220951197904662</x:v>
      </x:c>
      <x:c r="J27" s="81" t="n">
        <x:f>IFERROR(J26/J9,0)</x:f>
        <x:v>-0.01781300123180267</x:v>
      </x:c>
      <x:c r="K27" s="81" t="n">
        <x:f>IFERROR(K26/K9,0)</x:f>
        <x:v>0.004651648893684758</x:v>
      </x:c>
      <x:c r="L27" s="81" t="n">
        <x:f>IFERROR(L26/L9,0)</x:f>
        <x:v>0.05465832841905203</x:v>
      </x:c>
      <x:c r="M27" s="81" t="n">
        <x:f>IFERROR(M26/M9,0)</x:f>
        <x:v>0.09846853397432904</x:v>
      </x:c>
      <x:c r="N27" s="81" t="n">
        <x:f>IFERROR(N26/N9,0)</x:f>
        <x:v>0.1635158639466415</x:v>
      </x:c>
      <x:c r="O27" s="81" t="n">
        <x:f>IFERROR(O26/O9,0)</x:f>
        <x:v>0.2004340631474947</x:v>
      </x:c>
      <x:c r="P27" s="81" t="n">
        <x:f>IFERROR(P26/P9,0)</x:f>
        <x:v>0.21118808206110137</x:v>
      </x:c>
      <x:c r="Q27" s="81" t="n">
        <x:f>IFERROR(Q26/Q9,0)</x:f>
        <x:v>0.2465550589662736</x:v>
      </x:c>
      <x:c r="R27" s="81" t="n">
        <x:f>IFERROR(R26/R9,0)</x:f>
        <x:v>0.27340569636273415</x:v>
      </x:c>
      <x:c r="S27" s="81" t="n">
        <x:f>IFERROR(S26/S9,0)</x:f>
        <x:v>0.2976206727731224</x:v>
      </x:c>
      <x:c r="T27" s="81" t="n">
        <x:f>IFERROR(T26/T9,0)</x:f>
        <x:v>0.3237099287486462</x:v>
      </x:c>
      <x:c r="U27" s="81" t="n">
        <x:f>IFERROR(U26/U9,0)</x:f>
        <x:v>0.34352903787540473</x:v>
      </x:c>
      <x:c r="V27" s="81" t="n">
        <x:f>IFERROR(V26/V9,0)</x:f>
        <x:v>0.3616499887531159</x:v>
      </x:c>
      <x:c r="W27" s="81" t="n">
        <x:f>IFERROR(W26/W9,0)</x:f>
        <x:v>0.3816721367301733</x:v>
      </x:c>
      <x:c r="X27" s="81" t="n">
        <x:f>IFERROR(X26/X9,0)</x:f>
        <x:v>0.39687185107485856</x:v>
      </x:c>
      <x:c r="Y27" s="81" t="n">
        <x:f>IFERROR(Y26/Y9,0)</x:f>
        <x:v>0.41091564390175384</x:v>
      </x:c>
      <x:c r="Z27" s="81" t="n">
        <x:f>IFERROR(Z26/Z9,0)</x:f>
        <x:v>0.4458292244334319</x:v>
      </x:c>
      <x:c r="AA27" s="81" t="n">
        <x:f>IFERROR(AA26/AA9,0)</x:f>
        <x:v>0.4465838677030454</x:v>
      </x:c>
      <x:c r="AB27" s="81" t="n">
        <x:f>IFERROR(AB26/AB9,0)</x:f>
        <x:v>0.46277221502911586</x:v>
      </x:c>
      <x:c r="AC27" s="81" t="n">
        <x:f>IFERROR(AC26/AC9,0)</x:f>
        <x:v>0.480644147033279</x:v>
      </x:c>
      <x:c r="AD27" s="81" t="n">
        <x:f>IFERROR(AD26/AD9,0)</x:f>
        <x:v>0.49392855543815056</x:v>
      </x:c>
      <x:c r="AE27" s="81" t="n">
        <x:f>IFERROR(AE26/AE9,0)</x:f>
        <x:v>0.5060938301700599</x:v>
      </x:c>
      <x:c r="AF27" s="81" t="n">
        <x:f>IFERROR(AF26/AF9,0)</x:f>
        <x:v>0.5198776999850705</x:v>
      </x:c>
      <x:c r="AG27" s="81" t="n">
        <x:f>IFERROR(AG26/AG9,0)</x:f>
        <x:v>0.5301006225130894</x:v>
      </x:c>
      <x:c r="AH27" s="81" t="n">
        <x:f>IFERROR(AH26/AH9,0)</x:f>
        <x:v>0.5395576698965759</x:v>
      </x:c>
      <x:c r="AI27" s="81" t="n">
        <x:f>IFERROR(AI26/AI9,0)</x:f>
        <x:v>0.5504987324198318</x:v>
      </x:c>
      <x:c r="AJ27" s="81" t="n">
        <x:f>IFERROR(AJ26/AJ9,0)</x:f>
        <x:v>0.5585950656144413</x:v>
      </x:c>
      <x:c r="AK27" s="81" t="n">
        <x:f>IFERROR(AK26/AK9,0)</x:f>
        <x:v>0.5661450894700637</x:v>
      </x:c>
    </x:row>
    <x:row r="28">
      <x:c r="A28" s="83" t="str"/>
      <x:c r="B28" s="80"/>
      <x:c r="C28" s="80"/>
      <x:c r="D28" s="80"/>
      <x:c r="E28" s="80"/>
      <x:c r="F28" s="80"/>
      <x:c r="G28" s="80"/>
      <x:c r="H28" s="80"/>
      <x:c r="I28" s="80"/>
      <x:c r="J28" s="80"/>
      <x:c r="K28" s="80"/>
      <x:c r="L28" s="80"/>
      <x:c r="M28" s="80"/>
      <x:c r="N28" s="80"/>
      <x:c r="O28" s="80"/>
      <x:c r="P28" s="80"/>
      <x:c r="Q28" s="80"/>
      <x:c r="R28" s="80"/>
      <x:c r="S28" s="80"/>
      <x:c r="T28" s="80"/>
      <x:c r="U28" s="80"/>
      <x:c r="V28" s="80"/>
      <x:c r="W28" s="80"/>
      <x:c r="X28" s="80"/>
      <x:c r="Y28" s="80"/>
      <x:c r="Z28" s="80"/>
      <x:c r="AA28" s="80"/>
      <x:c r="AB28" s="80"/>
      <x:c r="AC28" s="80"/>
      <x:c r="AD28" s="80"/>
      <x:c r="AE28" s="80"/>
      <x:c r="AF28" s="80"/>
      <x:c r="AG28" s="80"/>
      <x:c r="AH28" s="80"/>
      <x:c r="AI28" s="80"/>
      <x:c r="AJ28" s="80"/>
      <x:c r="AK28" s="80"/>
    </x:row>
    <x:row r="29">
      <x:c r="A29" s="83" t="str">
        <x:v>Налоги</x:v>
      </x:c>
      <x:c r="B29" s="78" t="n">
        <x:f>'Налоги и господдержка'!J$85</x:f>
        <x:v>49500.00000000001</x:v>
      </x:c>
      <x:c r="C29" s="78" t="n">
        <x:f>'Налоги и господдержка'!K$85</x:f>
        <x:v>80850</x:v>
      </x:c>
      <x:c r="D29" s="78" t="n">
        <x:f>'Налоги и господдержка'!L$85</x:f>
        <x:v>90684</x:v>
      </x:c>
      <x:c r="E29" s="78" t="n">
        <x:f>'Налоги и господдержка'!M$85</x:f>
        <x:v>125169.66</x:v>
      </x:c>
      <x:c r="F29" s="78" t="n">
        <x:f>'Налоги и господдержка'!N$85</x:f>
        <x:v>138107.96340000004</x:v>
      </x:c>
      <x:c r="G29" s="78" t="n">
        <x:f>'Налоги и господдержка'!O$85</x:f>
        <x:v>150916.883766</x:v>
      </x:c>
      <x:c r="H29" s="78" t="n">
        <x:f>'Налоги и господдержка'!P$85</x:f>
        <x:v>188347.71492834002</x:v>
      </x:c>
      <x:c r="I29" s="78" t="n">
        <x:f>'Налоги и господдержка'!Q$85</x:f>
        <x:v>204201.7377790566</x:v>
      </x:c>
      <x:c r="J29" s="78" t="n">
        <x:f>'Налоги и господдержка'!R$85</x:f>
        <x:v>219897.22040126604</x:v>
      </x:c>
      <x:c r="K29" s="78" t="n">
        <x:f>'Налоги и господдержка'!S$85</x:f>
        <x:v>235435.74819725336</x:v>
      </x:c>
      <x:c r="L29" s="78" t="n">
        <x:f>'Налоги и господдержка'!T$85</x:f>
        <x:v>250818.89071528087</x:v>
      </x:c>
      <x:c r="M29" s="78" t="n">
        <x:f>'Налоги и господдержка'!U$85</x:f>
        <x:v>266048.20180812804</x:v>
      </x:c>
      <x:c r="N29" s="78" t="n">
        <x:f>'Налоги и господдержка'!V$85</x:f>
        <x:v>305875.21979004674</x:v>
      </x:c>
      <x:c r="O29" s="78" t="n">
        <x:f>'Налоги и господдержка'!W$85</x:f>
        <x:v>324101.46759214625</x:v>
      </x:c>
      <x:c r="P29" s="78" t="n">
        <x:f>'Налоги и господдержка'!X$85</x:f>
        <x:v>342145.4529162249</x:v>
      </x:c>
      <x:c r="Q29" s="78" t="n">
        <x:f>'Налоги и господдержка'!Y$85</x:f>
        <x:v>360008.9983870626</x:v>
      </x:c>
      <x:c r="R29" s="78" t="n">
        <x:f>'Налоги и господдержка'!Z$85</x:f>
        <x:v>377693.908403192</x:v>
      </x:c>
      <x:c r="S29" s="78" t="n">
        <x:f>'Налоги и господдержка'!AA$85</x:f>
        <x:v>395201.9693191601</x:v>
      </x:c>
      <x:c r="T29" s="78" t="n">
        <x:f>'Налоги и господдержка'!AB$85</x:f>
        <x:v>412534.9496259685</x:v>
      </x:c>
      <x:c r="U29" s="78" t="n">
        <x:f>'Налоги и господдержка'!AC$85</x:f>
        <x:v>429694.60012970876</x:v>
      </x:c>
      <x:c r="V29" s="78" t="n">
        <x:f>'Налоги и господдержка'!AD$85</x:f>
        <x:v>446682.6541284117</x:v>
      </x:c>
      <x:c r="W29" s="78" t="n">
        <x:f>'Налоги и господдержка'!AE$85</x:f>
        <x:v>463500.82758712757</x:v>
      </x:c>
      <x:c r="X29" s="78" t="n">
        <x:f>'Налоги и господдержка'!AF$85</x:f>
        <x:v>480150.81931125635</x:v>
      </x:c>
      <x:c r="Y29" s="78" t="n">
        <x:f>'Налоги и господдержка'!AG$85</x:f>
        <x:v>496634.3111181438</x:v>
      </x:c>
      <x:c r="Z29" s="78" t="n">
        <x:f>'Налоги и господдержка'!AH$85</x:f>
        <x:v>611952.9680069623</x:v>
      </x:c>
      <x:c r="AA29" s="78" t="n">
        <x:f>'Налоги и господдержка'!AI$85</x:f>
        <x:v>641308.4383268928</x:v>
      </x:c>
      <x:c r="AB29" s="78" t="n">
        <x:f>'Налоги и господдержка'!AJ$85</x:f>
        <x:v>670370.3539436238</x:v>
      </x:c>
      <x:c r="AC29" s="78" t="n">
        <x:f>'Налоги и господдержка'!AK$85</x:f>
        <x:v>699141.6504041876</x:v>
      </x:c>
      <x:c r="AD29" s="78" t="n">
        <x:f>'Налоги и господдержка'!AL$85</x:f>
        <x:v>727625.2339001456</x:v>
      </x:c>
      <x:c r="AE29" s="78" t="n">
        <x:f>'Налоги и господдержка'!AM$85</x:f>
        <x:v>755823.9815611442</x:v>
      </x:c>
      <x:c r="AF29" s="78" t="n">
        <x:f>'Налоги и господдержка'!AN$85</x:f>
        <x:v>783740.7417455328</x:v>
      </x:c>
      <x:c r="AG29" s="78" t="n">
        <x:f>'Налоги и господдержка'!AO$85</x:f>
        <x:v>811378.3343280775</x:v>
      </x:c>
      <x:c r="AH29" s="78" t="n">
        <x:f>'Налоги и господдержка'!AP$85</x:f>
        <x:v>838739.5509847968</x:v>
      </x:c>
      <x:c r="AI29" s="78" t="n">
        <x:f>'Налоги и господдержка'!AQ$85</x:f>
        <x:v>865827.1554749488</x:v>
      </x:c>
      <x:c r="AJ29" s="78" t="n">
        <x:f>'Налоги и господдержка'!AR$85</x:f>
        <x:v>909584.5178403989</x:v>
      </x:c>
      <x:c r="AK29" s="78" t="n">
        <x:f>'Налоги и господдержка'!AS$85</x:f>
        <x:v>962681.6401619948</x:v>
      </x:c>
    </x:row>
    <x:row r="30">
      <x:c r="A30" s="84" t="str">
        <x:v>Чистый операционный результат</x:v>
      </x:c>
      <x:c r="B30" s="79" t="n">
        <x:f>B26-B29</x:f>
        <x:v>-2784351.897196261</x:v>
      </x:c>
      <x:c r="C30" s="79" t="n">
        <x:f>C26-C29</x:f>
        <x:v>-2182801.8971962617</x:v>
      </x:c>
      <x:c r="D30" s="79" t="n">
        <x:f>D26-D29</x:f>
        <x:v>-1923839.8971962617</x:v>
      </x:c>
      <x:c r="E30" s="79" t="n">
        <x:f>E26-E29</x:f>
        <x:v>-1750704.947102803</x:v>
      </x:c>
      <x:c r="F30" s="79" t="n">
        <x:f>F26-F29</x:f>
        <x:v>-1409996.2909028025</x:v>
      </x:c>
      <x:c r="G30" s="79" t="n">
        <x:f>G26-G29</x:f>
        <x:v>-1072694.7212648026</x:v>
      </x:c>
      <x:c r="H30" s="79" t="n">
        <x:f>H26-H29</x:f>
        <x:v>-931268.5131175759</x:v>
      </x:c>
      <x:c r="I30" s="79" t="n">
        <x:f>I26-I29</x:f>
        <x:v>-763779.244715373</x:v>
      </x:c>
      <x:c r="J30" s="79" t="n">
        <x:f>J26-J29</x:f>
        <x:v>-350464.8689971905</x:v>
      </x:c>
      <x:c r="K30" s="79" t="n">
        <x:f>K26-K29</x:f>
        <x:v>-198930.26694273346</x:v>
      </x:c>
      <x:c r="L30" s="79" t="n">
        <x:f>L26-L29</x:f>
        <x:v>206159.15269865716</x:v>
      </x:c>
      <x:c r="M30" s="79" t="n">
        <x:f>M26-M29</x:f>
        <x:v>607197.6781436321</x:v>
      </x:c>
      <x:c r="N30" s="79" t="n">
        <x:f>N26-N29</x:f>
        <x:v>1361306.4743378984</x:v>
      </x:c>
      <x:c r="O30" s="79" t="n">
        <x:f>O26-O29</x:f>
        <x:v>1841264.3331265189</x:v>
      </x:c>
      <x:c r="P30" s="79" t="n">
        <x:f>P26-P29</x:f>
        <x:v>2066422.613327255</x:v>
      </x:c>
      <x:c r="Q30" s="79" t="n">
        <x:f>Q26-Q29</x:f>
        <x:v>2598725.6624699817</x:v>
      </x:c>
      <x:c r="R30" s="79" t="n">
        <x:f>R26-R29</x:f>
        <x:v>3064428.2928947224</x:v>
      </x:c>
      <x:c r="S30" s="79" t="n">
        <x:f>S26-S29</x:f>
        <x:v>3525473.8970152168</x:v>
      </x:c>
      <x:c r="T30" s="79" t="n">
        <x:f>T26-T29</x:f>
        <x:v>4038853.688698985</x:v>
      </x:c>
      <x:c r="U30" s="79" t="n">
        <x:f>U26-U29</x:f>
        <x:v>4490724.485297479</x:v>
      </x:c>
      <x:c r="V30" s="79" t="n">
        <x:f>V26-V29</x:f>
        <x:v>4938076.57392999</x:v>
      </x:c>
      <x:c r="W30" s="79" t="n">
        <x:f>W26-W29</x:f>
        <x:v>5433344.213792294</x:v>
      </x:c>
      <x:c r="X30" s="79" t="n">
        <x:f>X26-X29</x:f>
        <x:v>5871793.995861019</x:v>
      </x:c>
      <x:c r="Y30" s="79" t="n">
        <x:f>Y26-Y29</x:f>
        <x:v>6305859.280109056</x:v>
      </x:c>
      <x:c r="Z30" s="79" t="n">
        <x:f>Z26-Z29</x:f>
        <x:v>8482264.269202396</x:v>
      </x:c>
      <x:c r="AA30" s="79" t="n">
        <x:f>AA26-AA29</x:f>
        <x:v>8905291.654293898</x:v>
      </x:c>
      <x:c r="AB30" s="79" t="n">
        <x:f>AB26-AB29</x:f>
        <x:v>9670588.765534483</x:v>
      </x:c>
      <x:c r="AC30" s="79" t="n">
        <x:f>AC26-AC29</x:f>
        <x:v>10502136.42339447</x:v>
      </x:c>
      <x:c r="AD30" s="79" t="n">
        <x:f>AD26-AD29</x:f>
        <x:v>11252204.122121368</x:v>
      </x:c>
      <x:c r="AE30" s="79" t="n">
        <x:f>AE26-AE29</x:f>
        <x:v>11994771.143860998</x:v>
      </x:c>
      <x:c r="AF30" s="79" t="n">
        <x:f>AF26-AF29</x:f>
        <x:v>12797903.731696492</x:v>
      </x:c>
      <x:c r="AG30" s="79" t="n">
        <x:f>AG26-AG29</x:f>
        <x:v>13525693.669703506</x:v>
      </x:c>
      <x:c r="AH30" s="79" t="n">
        <x:f>AH26-AH29</x:f>
        <x:v>14246205.708330449</x:v>
      </x:c>
      <x:c r="AI30" s="79" t="n">
        <x:f>AI26-AI29</x:f>
        <x:v>15022064.563979317</x:v>
      </x:c>
      <x:c r="AJ30" s="79" t="n">
        <x:f>AJ26-AJ29</x:f>
        <x:v>15711297.779117385</x:v>
      </x:c>
      <x:c r="AK30" s="79" t="n">
        <x:f>AK26-AK29</x:f>
        <x:v>16383861.32852427</x:v>
      </x:c>
    </x:row>
    <x:row r="31">
      <x:c r="A31" s="85"/>
      <x:c r="B31" s="80"/>
      <x:c r="C31" s="80"/>
      <x:c r="D31" s="80"/>
      <x:c r="E31" s="80"/>
      <x:c r="F31" s="80"/>
      <x:c r="G31" s="80"/>
      <x:c r="H31" s="80"/>
      <x:c r="I31" s="80"/>
      <x:c r="J31" s="80"/>
      <x:c r="K31" s="80"/>
      <x:c r="L31" s="80"/>
      <x:c r="M31" s="80"/>
      <x:c r="N31" s="80"/>
      <x:c r="O31" s="80"/>
      <x:c r="P31" s="80"/>
      <x:c r="Q31" s="80"/>
      <x:c r="R31" s="80"/>
      <x:c r="S31" s="80"/>
      <x:c r="T31" s="80"/>
      <x:c r="U31" s="80"/>
      <x:c r="V31" s="80"/>
      <x:c r="W31" s="80"/>
      <x:c r="X31" s="80"/>
      <x:c r="Y31" s="80"/>
      <x:c r="Z31" s="80"/>
      <x:c r="AA31" s="80"/>
      <x:c r="AB31" s="80"/>
      <x:c r="AC31" s="80"/>
      <x:c r="AD31" s="80"/>
      <x:c r="AE31" s="80"/>
      <x:c r="AF31" s="80"/>
      <x:c r="AG31" s="80"/>
      <x:c r="AH31" s="80"/>
      <x:c r="AI31" s="80"/>
      <x:c r="AJ31" s="80"/>
      <x:c r="AK31" s="80"/>
    </x:row>
    <x:row r="32">
      <x:c r="A32" s="85"/>
      <x:c r="B32" s="80"/>
      <x:c r="C32" s="80"/>
      <x:c r="D32" s="80"/>
      <x:c r="E32" s="80"/>
      <x:c r="F32" s="80"/>
      <x:c r="G32" s="80"/>
      <x:c r="H32" s="80"/>
      <x:c r="I32" s="80"/>
      <x:c r="J32" s="80"/>
      <x:c r="K32" s="80"/>
      <x:c r="L32" s="80"/>
      <x:c r="M32" s="80"/>
      <x:c r="N32" s="80"/>
      <x:c r="O32" s="80"/>
      <x:c r="P32" s="80"/>
      <x:c r="Q32" s="80"/>
      <x:c r="R32" s="80"/>
      <x:c r="S32" s="80"/>
      <x:c r="T32" s="80"/>
      <x:c r="U32" s="80"/>
      <x:c r="V32" s="80"/>
      <x:c r="W32" s="80"/>
      <x:c r="X32" s="80"/>
      <x:c r="Y32" s="80"/>
      <x:c r="Z32" s="80"/>
      <x:c r="AA32" s="80"/>
      <x:c r="AB32" s="80"/>
      <x:c r="AC32" s="80"/>
      <x:c r="AD32" s="80"/>
      <x:c r="AE32" s="80"/>
      <x:c r="AF32" s="80"/>
      <x:c r="AG32" s="80"/>
      <x:c r="AH32" s="80"/>
      <x:c r="AI32" s="80"/>
      <x:c r="AJ32" s="80"/>
      <x:c r="AK32" s="80"/>
    </x:row>
    <x:row r="33">
      <x:c r="A33" s="85"/>
      <x:c r="B33" s="80"/>
      <x:c r="C33" s="80"/>
      <x:c r="D33" s="80"/>
      <x:c r="E33" s="80"/>
      <x:c r="F33" s="80"/>
      <x:c r="G33" s="80"/>
      <x:c r="H33" s="80"/>
      <x:c r="I33" s="80"/>
      <x:c r="J33" s="80"/>
      <x:c r="K33" s="80"/>
      <x:c r="L33" s="80"/>
      <x:c r="M33" s="80"/>
      <x:c r="N33" s="80"/>
      <x:c r="O33" s="80"/>
      <x:c r="P33" s="80"/>
      <x:c r="Q33" s="80"/>
      <x:c r="R33" s="80"/>
      <x:c r="S33" s="80"/>
      <x:c r="T33" s="80"/>
      <x:c r="U33" s="80"/>
      <x:c r="V33" s="80"/>
      <x:c r="W33" s="80"/>
      <x:c r="X33" s="80"/>
      <x:c r="Y33" s="80"/>
      <x:c r="Z33" s="80"/>
      <x:c r="AA33" s="80"/>
      <x:c r="AB33" s="80"/>
      <x:c r="AC33" s="80"/>
      <x:c r="AD33" s="80"/>
      <x:c r="AE33" s="80"/>
      <x:c r="AF33" s="80"/>
      <x:c r="AG33" s="80"/>
      <x:c r="AH33" s="80"/>
      <x:c r="AI33" s="80"/>
      <x:c r="AJ33" s="80"/>
      <x:c r="AK33" s="80"/>
    </x:row>
    <x:row r="34">
      <x:c r="A34" s="85"/>
      <x:c r="B34" s="80"/>
      <x:c r="C34" s="80"/>
      <x:c r="D34" s="80"/>
      <x:c r="E34" s="80"/>
      <x:c r="F34" s="80"/>
      <x:c r="G34" s="80"/>
      <x:c r="H34" s="80"/>
      <x:c r="I34" s="80"/>
      <x:c r="J34" s="80"/>
      <x:c r="K34" s="80"/>
      <x:c r="L34" s="80"/>
      <x:c r="M34" s="80"/>
      <x:c r="N34" s="80"/>
      <x:c r="O34" s="80"/>
      <x:c r="P34" s="80"/>
      <x:c r="Q34" s="80"/>
      <x:c r="R34" s="80"/>
      <x:c r="S34" s="80"/>
      <x:c r="T34" s="80"/>
      <x:c r="U34" s="80"/>
      <x:c r="V34" s="80"/>
      <x:c r="W34" s="80"/>
      <x:c r="X34" s="80"/>
      <x:c r="Y34" s="80"/>
      <x:c r="Z34" s="80"/>
      <x:c r="AA34" s="80"/>
      <x:c r="AB34" s="80"/>
      <x:c r="AC34" s="80"/>
      <x:c r="AD34" s="80"/>
      <x:c r="AE34" s="80"/>
      <x:c r="AF34" s="80"/>
      <x:c r="AG34" s="80"/>
      <x:c r="AH34" s="80"/>
      <x:c r="AI34" s="80"/>
      <x:c r="AJ34" s="80"/>
      <x:c r="AK34" s="80"/>
    </x:row>
    <x:row r="35">
      <x:c r="A35" s="85"/>
      <x:c r="B35" s="80"/>
      <x:c r="C35" s="80"/>
      <x:c r="D35" s="80"/>
      <x:c r="E35" s="80"/>
      <x:c r="F35" s="80"/>
      <x:c r="G35" s="80"/>
      <x:c r="H35" s="80"/>
      <x:c r="I35" s="80"/>
      <x:c r="J35" s="80"/>
      <x:c r="K35" s="80"/>
      <x:c r="L35" s="80"/>
      <x:c r="M35" s="80"/>
      <x:c r="N35" s="80"/>
      <x:c r="O35" s="80"/>
      <x:c r="P35" s="80"/>
      <x:c r="Q35" s="80"/>
      <x:c r="R35" s="80"/>
      <x:c r="S35" s="80"/>
      <x:c r="T35" s="80"/>
      <x:c r="U35" s="80"/>
      <x:c r="V35" s="80"/>
      <x:c r="W35" s="80"/>
      <x:c r="X35" s="80"/>
      <x:c r="Y35" s="80"/>
      <x:c r="Z35" s="80"/>
      <x:c r="AA35" s="80"/>
      <x:c r="AB35" s="80"/>
      <x:c r="AC35" s="80"/>
      <x:c r="AD35" s="80"/>
      <x:c r="AE35" s="80"/>
      <x:c r="AF35" s="80"/>
      <x:c r="AG35" s="80"/>
      <x:c r="AH35" s="80"/>
      <x:c r="AI35" s="80"/>
      <x:c r="AJ35" s="80"/>
      <x:c r="AK35" s="80"/>
    </x:row>
    <x:row r="36">
      <x:c r="A36" s="85"/>
      <x:c r="B36" s="80"/>
      <x:c r="C36" s="80"/>
      <x:c r="D36" s="80"/>
      <x:c r="E36" s="80"/>
      <x:c r="F36" s="80"/>
      <x:c r="G36" s="80"/>
      <x:c r="H36" s="80"/>
      <x:c r="I36" s="80"/>
      <x:c r="J36" s="80"/>
      <x:c r="K36" s="80"/>
      <x:c r="L36" s="80"/>
      <x:c r="M36" s="80"/>
      <x:c r="N36" s="80"/>
      <x:c r="O36" s="80"/>
      <x:c r="P36" s="80"/>
      <x:c r="Q36" s="80"/>
      <x:c r="R36" s="80"/>
      <x:c r="S36" s="80"/>
      <x:c r="T36" s="80"/>
      <x:c r="U36" s="80"/>
      <x:c r="V36" s="80"/>
      <x:c r="W36" s="80"/>
      <x:c r="X36" s="80"/>
      <x:c r="Y36" s="80"/>
      <x:c r="Z36" s="80"/>
      <x:c r="AA36" s="80"/>
      <x:c r="AB36" s="80"/>
      <x:c r="AC36" s="80"/>
      <x:c r="AD36" s="80"/>
      <x:c r="AE36" s="80"/>
      <x:c r="AF36" s="80"/>
      <x:c r="AG36" s="80"/>
      <x:c r="AH36" s="80"/>
      <x:c r="AI36" s="80"/>
      <x:c r="AJ36" s="80"/>
      <x:c r="AK36" s="80"/>
    </x:row>
    <x:row r="37">
      <x:c r="A37" s="85"/>
      <x:c r="B37" s="80"/>
      <x:c r="C37" s="80"/>
      <x:c r="D37" s="80"/>
      <x:c r="E37" s="80"/>
      <x:c r="F37" s="80"/>
      <x:c r="G37" s="80"/>
      <x:c r="H37" s="80"/>
      <x:c r="I37" s="80"/>
      <x:c r="J37" s="80"/>
      <x:c r="K37" s="80"/>
      <x:c r="L37" s="80"/>
      <x:c r="M37" s="80"/>
      <x:c r="N37" s="80"/>
      <x:c r="O37" s="80"/>
      <x:c r="P37" s="80"/>
      <x:c r="Q37" s="80"/>
      <x:c r="R37" s="80"/>
      <x:c r="S37" s="80"/>
      <x:c r="T37" s="80"/>
      <x:c r="U37" s="80"/>
      <x:c r="V37" s="80"/>
      <x:c r="W37" s="80"/>
      <x:c r="X37" s="80"/>
      <x:c r="Y37" s="80"/>
      <x:c r="Z37" s="80"/>
      <x:c r="AA37" s="80"/>
      <x:c r="AB37" s="80"/>
      <x:c r="AC37" s="80"/>
      <x:c r="AD37" s="80"/>
      <x:c r="AE37" s="80"/>
      <x:c r="AF37" s="80"/>
      <x:c r="AG37" s="80"/>
      <x:c r="AH37" s="80"/>
      <x:c r="AI37" s="80"/>
      <x:c r="AJ37" s="80"/>
      <x:c r="AK37" s="80"/>
    </x:row>
    <x:row r="38">
      <x:c r="A38" s="85"/>
      <x:c r="B38" s="80"/>
      <x:c r="C38" s="80"/>
      <x:c r="D38" s="80"/>
      <x:c r="E38" s="80"/>
      <x:c r="F38" s="80"/>
      <x:c r="G38" s="80"/>
      <x:c r="H38" s="80"/>
      <x:c r="I38" s="80"/>
      <x:c r="J38" s="80"/>
      <x:c r="K38" s="80"/>
      <x:c r="L38" s="80"/>
      <x:c r="M38" s="80"/>
      <x:c r="N38" s="80"/>
      <x:c r="O38" s="80"/>
      <x:c r="P38" s="80"/>
      <x:c r="Q38" s="80"/>
      <x:c r="R38" s="80"/>
      <x:c r="S38" s="80"/>
      <x:c r="T38" s="80"/>
      <x:c r="U38" s="80"/>
      <x:c r="V38" s="80"/>
      <x:c r="W38" s="80"/>
      <x:c r="X38" s="80"/>
      <x:c r="Y38" s="80"/>
      <x:c r="Z38" s="80"/>
      <x:c r="AA38" s="80"/>
      <x:c r="AB38" s="80"/>
      <x:c r="AC38" s="80"/>
      <x:c r="AD38" s="80"/>
      <x:c r="AE38" s="80"/>
      <x:c r="AF38" s="80"/>
      <x:c r="AG38" s="80"/>
      <x:c r="AH38" s="80"/>
      <x:c r="AI38" s="80"/>
      <x:c r="AJ38" s="80"/>
      <x:c r="AK38" s="80"/>
    </x:row>
    <x:row r="39">
      <x:c r="A39" s="85"/>
      <x:c r="B39" s="80"/>
      <x:c r="C39" s="80"/>
      <x:c r="D39" s="80"/>
      <x:c r="E39" s="80"/>
      <x:c r="F39" s="80"/>
      <x:c r="G39" s="80"/>
      <x:c r="H39" s="80"/>
      <x:c r="I39" s="80"/>
      <x:c r="J39" s="80"/>
      <x:c r="K39" s="80"/>
      <x:c r="L39" s="80"/>
      <x:c r="M39" s="80"/>
      <x:c r="N39" s="80"/>
      <x:c r="O39" s="80"/>
      <x:c r="P39" s="80"/>
      <x:c r="Q39" s="80"/>
      <x:c r="R39" s="80"/>
      <x:c r="S39" s="80"/>
      <x:c r="T39" s="80"/>
      <x:c r="U39" s="80"/>
      <x:c r="V39" s="80"/>
      <x:c r="W39" s="80"/>
      <x:c r="X39" s="80"/>
      <x:c r="Y39" s="80"/>
      <x:c r="Z39" s="80"/>
      <x:c r="AA39" s="80"/>
      <x:c r="AB39" s="80"/>
      <x:c r="AC39" s="80"/>
      <x:c r="AD39" s="80"/>
      <x:c r="AE39" s="80"/>
      <x:c r="AF39" s="80"/>
      <x:c r="AG39" s="80"/>
      <x:c r="AH39" s="80"/>
      <x:c r="AI39" s="80"/>
      <x:c r="AJ39" s="80"/>
      <x:c r="AK39" s="80"/>
    </x:row>
    <x:row r="40">
      <x:c r="A40" s="85"/>
      <x:c r="B40" s="80"/>
      <x:c r="C40" s="80"/>
      <x:c r="D40" s="80"/>
      <x:c r="E40" s="80"/>
      <x:c r="F40" s="80"/>
      <x:c r="G40" s="80"/>
      <x:c r="H40" s="80"/>
      <x:c r="I40" s="80"/>
      <x:c r="J40" s="80"/>
      <x:c r="K40" s="80"/>
      <x:c r="L40" s="80"/>
      <x:c r="M40" s="80"/>
      <x:c r="N40" s="80"/>
      <x:c r="O40" s="80"/>
      <x:c r="P40" s="80"/>
      <x:c r="Q40" s="80"/>
      <x:c r="R40" s="80"/>
      <x:c r="S40" s="80"/>
      <x:c r="T40" s="80"/>
      <x:c r="U40" s="80"/>
      <x:c r="V40" s="80"/>
      <x:c r="W40" s="80"/>
      <x:c r="X40" s="80"/>
      <x:c r="Y40" s="80"/>
      <x:c r="Z40" s="80"/>
      <x:c r="AA40" s="80"/>
      <x:c r="AB40" s="80"/>
      <x:c r="AC40" s="80"/>
      <x:c r="AD40" s="80"/>
      <x:c r="AE40" s="80"/>
      <x:c r="AF40" s="80"/>
      <x:c r="AG40" s="80"/>
      <x:c r="AH40" s="80"/>
      <x:c r="AI40" s="80"/>
      <x:c r="AJ40" s="80"/>
      <x:c r="AK40" s="80"/>
    </x:row>
    <x:row r="41">
      <x:c r="A41" s="85"/>
      <x:c r="B41" s="80"/>
      <x:c r="C41" s="80"/>
      <x:c r="D41" s="80"/>
      <x:c r="E41" s="80"/>
      <x:c r="F41" s="80"/>
      <x:c r="G41" s="80"/>
      <x:c r="H41" s="80"/>
      <x:c r="I41" s="80"/>
      <x:c r="J41" s="80"/>
      <x:c r="K41" s="80"/>
      <x:c r="L41" s="80"/>
      <x:c r="M41" s="80"/>
      <x:c r="N41" s="80"/>
      <x:c r="O41" s="80"/>
      <x:c r="P41" s="80"/>
      <x:c r="Q41" s="80"/>
      <x:c r="R41" s="80"/>
      <x:c r="S41" s="80"/>
      <x:c r="T41" s="80"/>
      <x:c r="U41" s="80"/>
      <x:c r="V41" s="80"/>
      <x:c r="W41" s="80"/>
      <x:c r="X41" s="80"/>
      <x:c r="Y41" s="80"/>
      <x:c r="Z41" s="80"/>
      <x:c r="AA41" s="80"/>
      <x:c r="AB41" s="80"/>
      <x:c r="AC41" s="80"/>
      <x:c r="AD41" s="80"/>
      <x:c r="AE41" s="80"/>
      <x:c r="AF41" s="80"/>
      <x:c r="AG41" s="80"/>
      <x:c r="AH41" s="80"/>
      <x:c r="AI41" s="80"/>
      <x:c r="AJ41" s="80"/>
      <x:c r="AK41" s="80"/>
    </x:row>
    <x:row r="42">
      <x:c r="A42" s="85"/>
      <x:c r="B42" s="80"/>
      <x:c r="C42" s="80"/>
      <x:c r="D42" s="80"/>
      <x:c r="E42" s="80"/>
      <x:c r="F42" s="80"/>
      <x:c r="G42" s="80"/>
      <x:c r="H42" s="80"/>
      <x:c r="I42" s="80"/>
      <x:c r="J42" s="80"/>
      <x:c r="K42" s="80"/>
      <x:c r="L42" s="80"/>
      <x:c r="M42" s="80"/>
      <x:c r="N42" s="80"/>
      <x:c r="O42" s="80"/>
      <x:c r="P42" s="80"/>
      <x:c r="Q42" s="80"/>
      <x:c r="R42" s="80"/>
      <x:c r="S42" s="80"/>
      <x:c r="T42" s="80"/>
      <x:c r="U42" s="80"/>
      <x:c r="V42" s="80"/>
      <x:c r="W42" s="80"/>
      <x:c r="X42" s="80"/>
      <x:c r="Y42" s="80"/>
      <x:c r="Z42" s="80"/>
      <x:c r="AA42" s="80"/>
      <x:c r="AB42" s="80"/>
      <x:c r="AC42" s="80"/>
      <x:c r="AD42" s="80"/>
      <x:c r="AE42" s="80"/>
      <x:c r="AF42" s="80"/>
      <x:c r="AG42" s="80"/>
      <x:c r="AH42" s="80"/>
      <x:c r="AI42" s="80"/>
      <x:c r="AJ42" s="80"/>
      <x:c r="AK42" s="80"/>
    </x:row>
    <x:row r="43">
      <x:c r="A43" s="85"/>
      <x:c r="B43" s="80"/>
      <x:c r="C43" s="80"/>
      <x:c r="D43" s="80"/>
      <x:c r="E43" s="80"/>
      <x:c r="F43" s="80"/>
      <x:c r="G43" s="80"/>
      <x:c r="H43" s="80"/>
      <x:c r="I43" s="80"/>
      <x:c r="J43" s="80"/>
      <x:c r="K43" s="80"/>
      <x:c r="L43" s="80"/>
      <x:c r="M43" s="80"/>
      <x:c r="N43" s="80"/>
      <x:c r="O43" s="80"/>
      <x:c r="P43" s="80"/>
      <x:c r="Q43" s="80"/>
      <x:c r="R43" s="80"/>
      <x:c r="S43" s="80"/>
      <x:c r="T43" s="80"/>
      <x:c r="U43" s="80"/>
      <x:c r="V43" s="80"/>
      <x:c r="W43" s="80"/>
      <x:c r="X43" s="80"/>
      <x:c r="Y43" s="80"/>
      <x:c r="Z43" s="80"/>
      <x:c r="AA43" s="80"/>
      <x:c r="AB43" s="80"/>
      <x:c r="AC43" s="80"/>
      <x:c r="AD43" s="80"/>
      <x:c r="AE43" s="80"/>
      <x:c r="AF43" s="80"/>
      <x:c r="AG43" s="80"/>
      <x:c r="AH43" s="80"/>
      <x:c r="AI43" s="80"/>
      <x:c r="AJ43" s="80"/>
      <x:c r="AK43" s="80"/>
    </x:row>
    <x:row r="44">
      <x:c r="A44" s="85"/>
      <x:c r="B44" s="80"/>
      <x:c r="C44" s="80"/>
      <x:c r="D44" s="80"/>
      <x:c r="E44" s="80"/>
      <x:c r="F44" s="80"/>
      <x:c r="G44" s="80"/>
      <x:c r="H44" s="80"/>
      <x:c r="I44" s="80"/>
      <x:c r="J44" s="80"/>
      <x:c r="K44" s="80"/>
      <x:c r="L44" s="80"/>
      <x:c r="M44" s="80"/>
      <x:c r="N44" s="80"/>
      <x:c r="O44" s="80"/>
      <x:c r="P44" s="80"/>
      <x:c r="Q44" s="80"/>
      <x:c r="R44" s="80"/>
      <x:c r="S44" s="80"/>
      <x:c r="T44" s="80"/>
      <x:c r="U44" s="80"/>
      <x:c r="V44" s="80"/>
      <x:c r="W44" s="80"/>
      <x:c r="X44" s="80"/>
      <x:c r="Y44" s="80"/>
      <x:c r="Z44" s="80"/>
      <x:c r="AA44" s="80"/>
      <x:c r="AB44" s="80"/>
      <x:c r="AC44" s="80"/>
      <x:c r="AD44" s="80"/>
      <x:c r="AE44" s="80"/>
      <x:c r="AF44" s="80"/>
      <x:c r="AG44" s="80"/>
      <x:c r="AH44" s="80"/>
      <x:c r="AI44" s="80"/>
      <x:c r="AJ44" s="80"/>
      <x:c r="AK44" s="80"/>
    </x:row>
    <x:row r="45">
      <x:c r="A45" s="85"/>
      <x:c r="B45" s="80"/>
      <x:c r="C45" s="80"/>
      <x:c r="D45" s="80"/>
      <x:c r="E45" s="80"/>
      <x:c r="F45" s="80"/>
      <x:c r="G45" s="80"/>
      <x:c r="H45" s="80"/>
      <x:c r="I45" s="80"/>
      <x:c r="J45" s="80"/>
      <x:c r="K45" s="80"/>
      <x:c r="L45" s="80"/>
      <x:c r="M45" s="80"/>
      <x:c r="N45" s="80"/>
      <x:c r="O45" s="80"/>
      <x:c r="P45" s="80"/>
      <x:c r="Q45" s="80"/>
      <x:c r="R45" s="80"/>
      <x:c r="S45" s="80"/>
      <x:c r="T45" s="80"/>
      <x:c r="U45" s="80"/>
      <x:c r="V45" s="80"/>
      <x:c r="W45" s="80"/>
      <x:c r="X45" s="80"/>
      <x:c r="Y45" s="80"/>
      <x:c r="Z45" s="80"/>
      <x:c r="AA45" s="80"/>
      <x:c r="AB45" s="80"/>
      <x:c r="AC45" s="80"/>
      <x:c r="AD45" s="80"/>
      <x:c r="AE45" s="80"/>
      <x:c r="AF45" s="80"/>
      <x:c r="AG45" s="80"/>
      <x:c r="AH45" s="80"/>
      <x:c r="AI45" s="80"/>
      <x:c r="AJ45" s="80"/>
      <x:c r="AK45" s="80"/>
    </x:row>
    <x:row r="46">
      <x:c r="A46" s="85"/>
      <x:c r="B46" s="80"/>
      <x:c r="C46" s="80"/>
      <x:c r="D46" s="80"/>
      <x:c r="E46" s="80"/>
      <x:c r="F46" s="80"/>
      <x:c r="G46" s="80"/>
      <x:c r="H46" s="80"/>
      <x:c r="I46" s="80"/>
      <x:c r="J46" s="80"/>
      <x:c r="K46" s="80"/>
      <x:c r="L46" s="80"/>
      <x:c r="M46" s="80"/>
      <x:c r="N46" s="80"/>
      <x:c r="O46" s="80"/>
      <x:c r="P46" s="80"/>
      <x:c r="Q46" s="80"/>
      <x:c r="R46" s="80"/>
      <x:c r="S46" s="80"/>
      <x:c r="T46" s="80"/>
      <x:c r="U46" s="80"/>
      <x:c r="V46" s="80"/>
      <x:c r="W46" s="80"/>
      <x:c r="X46" s="80"/>
      <x:c r="Y46" s="80"/>
      <x:c r="Z46" s="80"/>
      <x:c r="AA46" s="80"/>
      <x:c r="AB46" s="80"/>
      <x:c r="AC46" s="80"/>
      <x:c r="AD46" s="80"/>
      <x:c r="AE46" s="80"/>
      <x:c r="AF46" s="80"/>
      <x:c r="AG46" s="80"/>
      <x:c r="AH46" s="80"/>
      <x:c r="AI46" s="80"/>
      <x:c r="AJ46" s="80"/>
      <x:c r="AK46" s="80"/>
    </x:row>
    <x:row r="47">
      <x:c r="A47" s="85"/>
      <x:c r="B47" s="80"/>
      <x:c r="C47" s="80"/>
      <x:c r="D47" s="80"/>
      <x:c r="E47" s="80"/>
      <x:c r="F47" s="80"/>
      <x:c r="G47" s="80"/>
      <x:c r="H47" s="80"/>
      <x:c r="I47" s="80"/>
      <x:c r="J47" s="80"/>
      <x:c r="K47" s="80"/>
      <x:c r="L47" s="80"/>
      <x:c r="M47" s="80"/>
      <x:c r="N47" s="80"/>
      <x:c r="O47" s="80"/>
      <x:c r="P47" s="80"/>
      <x:c r="Q47" s="80"/>
      <x:c r="R47" s="80"/>
      <x:c r="S47" s="80"/>
      <x:c r="T47" s="80"/>
      <x:c r="U47" s="80"/>
      <x:c r="V47" s="80"/>
      <x:c r="W47" s="80"/>
      <x:c r="X47" s="80"/>
      <x:c r="Y47" s="80"/>
      <x:c r="Z47" s="80"/>
      <x:c r="AA47" s="80"/>
      <x:c r="AB47" s="80"/>
      <x:c r="AC47" s="80"/>
      <x:c r="AD47" s="80"/>
      <x:c r="AE47" s="80"/>
      <x:c r="AF47" s="80"/>
      <x:c r="AG47" s="80"/>
      <x:c r="AH47" s="80"/>
      <x:c r="AI47" s="80"/>
      <x:c r="AJ47" s="80"/>
      <x:c r="AK47" s="80"/>
    </x:row>
    <x:row r="48">
      <x:c r="A48" s="85"/>
      <x:c r="B48" s="80"/>
      <x:c r="C48" s="80"/>
      <x:c r="D48" s="80"/>
      <x:c r="E48" s="80"/>
      <x:c r="F48" s="80"/>
      <x:c r="G48" s="80"/>
      <x:c r="H48" s="80"/>
      <x:c r="I48" s="80"/>
      <x:c r="J48" s="80"/>
      <x:c r="K48" s="80"/>
      <x:c r="L48" s="80"/>
      <x:c r="M48" s="80"/>
      <x:c r="N48" s="80"/>
      <x:c r="O48" s="80"/>
      <x:c r="P48" s="80"/>
      <x:c r="Q48" s="80"/>
      <x:c r="R48" s="80"/>
      <x:c r="S48" s="80"/>
      <x:c r="T48" s="80"/>
      <x:c r="U48" s="80"/>
      <x:c r="V48" s="80"/>
      <x:c r="W48" s="80"/>
      <x:c r="X48" s="80"/>
      <x:c r="Y48" s="80"/>
      <x:c r="Z48" s="80"/>
      <x:c r="AA48" s="80"/>
      <x:c r="AB48" s="80"/>
      <x:c r="AC48" s="80"/>
      <x:c r="AD48" s="80"/>
      <x:c r="AE48" s="80"/>
      <x:c r="AF48" s="80"/>
      <x:c r="AG48" s="80"/>
      <x:c r="AH48" s="80"/>
      <x:c r="AI48" s="80"/>
      <x:c r="AJ48" s="80"/>
      <x:c r="AK48" s="80"/>
    </x:row>
    <x:row r="49">
      <x:c r="A49" s="85"/>
      <x:c r="B49" s="80"/>
      <x:c r="C49" s="80"/>
      <x:c r="D49" s="80"/>
      <x:c r="E49" s="80"/>
      <x:c r="F49" s="80"/>
      <x:c r="G49" s="80"/>
      <x:c r="H49" s="80"/>
      <x:c r="I49" s="80"/>
      <x:c r="J49" s="80"/>
      <x:c r="K49" s="80"/>
      <x:c r="L49" s="80"/>
      <x:c r="M49" s="80"/>
      <x:c r="N49" s="80"/>
      <x:c r="O49" s="80"/>
      <x:c r="P49" s="80"/>
      <x:c r="Q49" s="80"/>
      <x:c r="R49" s="80"/>
      <x:c r="S49" s="80"/>
      <x:c r="T49" s="80"/>
      <x:c r="U49" s="80"/>
      <x:c r="V49" s="80"/>
      <x:c r="W49" s="80"/>
      <x:c r="X49" s="80"/>
      <x:c r="Y49" s="80"/>
      <x:c r="Z49" s="80"/>
      <x:c r="AA49" s="80"/>
      <x:c r="AB49" s="80"/>
      <x:c r="AC49" s="80"/>
      <x:c r="AD49" s="80"/>
      <x:c r="AE49" s="80"/>
      <x:c r="AF49" s="80"/>
      <x:c r="AG49" s="80"/>
      <x:c r="AH49" s="80"/>
      <x:c r="AI49" s="80"/>
      <x:c r="AJ49" s="80"/>
      <x:c r="AK49" s="80"/>
    </x:row>
    <x:row r="50">
      <x:c r="A50" s="85"/>
      <x:c r="B50" s="80"/>
      <x:c r="C50" s="80"/>
      <x:c r="D50" s="80"/>
      <x:c r="E50" s="80"/>
      <x:c r="F50" s="80"/>
      <x:c r="G50" s="80"/>
      <x:c r="H50" s="80"/>
      <x:c r="I50" s="80"/>
      <x:c r="J50" s="80"/>
      <x:c r="K50" s="80"/>
      <x:c r="L50" s="80"/>
      <x:c r="M50" s="80"/>
      <x:c r="N50" s="80"/>
      <x:c r="O50" s="80"/>
      <x:c r="P50" s="80"/>
      <x:c r="Q50" s="80"/>
      <x:c r="R50" s="80"/>
      <x:c r="S50" s="80"/>
      <x:c r="T50" s="80"/>
      <x:c r="U50" s="80"/>
      <x:c r="V50" s="80"/>
      <x:c r="W50" s="80"/>
      <x:c r="X50" s="80"/>
      <x:c r="Y50" s="80"/>
      <x:c r="Z50" s="80"/>
      <x:c r="AA50" s="80"/>
      <x:c r="AB50" s="80"/>
      <x:c r="AC50" s="80"/>
      <x:c r="AD50" s="80"/>
      <x:c r="AE50" s="80"/>
      <x:c r="AF50" s="80"/>
      <x:c r="AG50" s="80"/>
      <x:c r="AH50" s="80"/>
      <x:c r="AI50" s="80"/>
      <x:c r="AJ50" s="80"/>
      <x:c r="AK50" s="80"/>
    </x:row>
    <x:row r="51">
      <x:c r="A51" s="85"/>
      <x:c r="B51" s="80"/>
      <x:c r="C51" s="80"/>
      <x:c r="D51" s="80"/>
      <x:c r="E51" s="80"/>
      <x:c r="F51" s="80"/>
      <x:c r="G51" s="80"/>
      <x:c r="H51" s="80"/>
      <x:c r="I51" s="80"/>
      <x:c r="J51" s="80"/>
      <x:c r="K51" s="80"/>
      <x:c r="L51" s="80"/>
      <x:c r="M51" s="80"/>
      <x:c r="N51" s="80"/>
      <x:c r="O51" s="80"/>
      <x:c r="P51" s="80"/>
      <x:c r="Q51" s="80"/>
      <x:c r="R51" s="80"/>
      <x:c r="S51" s="80"/>
      <x:c r="T51" s="80"/>
      <x:c r="U51" s="80"/>
      <x:c r="V51" s="80"/>
      <x:c r="W51" s="80"/>
      <x:c r="X51" s="80"/>
      <x:c r="Y51" s="80"/>
      <x:c r="Z51" s="80"/>
      <x:c r="AA51" s="80"/>
      <x:c r="AB51" s="80"/>
      <x:c r="AC51" s="80"/>
      <x:c r="AD51" s="80"/>
      <x:c r="AE51" s="80"/>
      <x:c r="AF51" s="80"/>
      <x:c r="AG51" s="80"/>
      <x:c r="AH51" s="80"/>
      <x:c r="AI51" s="80"/>
      <x:c r="AJ51" s="80"/>
      <x:c r="AK51" s="80"/>
    </x:row>
    <x:row r="52">
      <x:c r="A52" s="85"/>
      <x:c r="B52" s="80"/>
      <x:c r="C52" s="80"/>
      <x:c r="D52" s="80"/>
      <x:c r="E52" s="80"/>
      <x:c r="F52" s="80"/>
      <x:c r="G52" s="80"/>
      <x:c r="H52" s="80"/>
      <x:c r="I52" s="80"/>
      <x:c r="J52" s="80"/>
      <x:c r="K52" s="80"/>
      <x:c r="L52" s="80"/>
      <x:c r="M52" s="80"/>
      <x:c r="N52" s="80"/>
      <x:c r="O52" s="80"/>
      <x:c r="P52" s="80"/>
      <x:c r="Q52" s="80"/>
      <x:c r="R52" s="80"/>
      <x:c r="S52" s="80"/>
      <x:c r="T52" s="80"/>
      <x:c r="U52" s="80"/>
      <x:c r="V52" s="80"/>
      <x:c r="W52" s="80"/>
      <x:c r="X52" s="80"/>
      <x:c r="Y52" s="80"/>
      <x:c r="Z52" s="80"/>
      <x:c r="AA52" s="80"/>
      <x:c r="AB52" s="80"/>
      <x:c r="AC52" s="80"/>
      <x:c r="AD52" s="80"/>
      <x:c r="AE52" s="80"/>
      <x:c r="AF52" s="80"/>
      <x:c r="AG52" s="80"/>
      <x:c r="AH52" s="80"/>
      <x:c r="AI52" s="80"/>
      <x:c r="AJ52" s="80"/>
      <x:c r="AK52" s="80"/>
    </x:row>
    <x:row r="53">
      <x:c r="A53" s="85"/>
      <x:c r="B53" s="80"/>
      <x:c r="C53" s="80"/>
      <x:c r="D53" s="80"/>
      <x:c r="E53" s="80"/>
      <x:c r="F53" s="80"/>
      <x:c r="G53" s="80"/>
      <x:c r="H53" s="80"/>
      <x:c r="I53" s="80"/>
      <x:c r="J53" s="80"/>
      <x:c r="K53" s="80"/>
      <x:c r="L53" s="80"/>
      <x:c r="M53" s="80"/>
      <x:c r="N53" s="80"/>
      <x:c r="O53" s="80"/>
      <x:c r="P53" s="80"/>
      <x:c r="Q53" s="80"/>
      <x:c r="R53" s="80"/>
      <x:c r="S53" s="80"/>
      <x:c r="T53" s="80"/>
      <x:c r="U53" s="80"/>
      <x:c r="V53" s="80"/>
      <x:c r="W53" s="80"/>
      <x:c r="X53" s="80"/>
      <x:c r="Y53" s="80"/>
      <x:c r="Z53" s="80"/>
      <x:c r="AA53" s="80"/>
      <x:c r="AB53" s="80"/>
      <x:c r="AC53" s="80"/>
      <x:c r="AD53" s="80"/>
      <x:c r="AE53" s="80"/>
      <x:c r="AF53" s="80"/>
      <x:c r="AG53" s="80"/>
      <x:c r="AH53" s="80"/>
      <x:c r="AI53" s="80"/>
      <x:c r="AJ53" s="80"/>
      <x:c r="AK53" s="80"/>
    </x:row>
    <x:row r="54">
      <x:c r="A54" s="85"/>
      <x:c r="B54" s="80"/>
      <x:c r="C54" s="80"/>
      <x:c r="D54" s="80"/>
      <x:c r="E54" s="80"/>
      <x:c r="F54" s="80"/>
      <x:c r="G54" s="80"/>
      <x:c r="H54" s="80"/>
      <x:c r="I54" s="80"/>
      <x:c r="J54" s="80"/>
      <x:c r="K54" s="80"/>
      <x:c r="L54" s="80"/>
      <x:c r="M54" s="80"/>
      <x:c r="N54" s="80"/>
      <x:c r="O54" s="80"/>
      <x:c r="P54" s="80"/>
      <x:c r="Q54" s="80"/>
      <x:c r="R54" s="80"/>
      <x:c r="S54" s="80"/>
      <x:c r="T54" s="80"/>
      <x:c r="U54" s="80"/>
      <x:c r="V54" s="80"/>
      <x:c r="W54" s="80"/>
      <x:c r="X54" s="80"/>
      <x:c r="Y54" s="80"/>
      <x:c r="Z54" s="80"/>
      <x:c r="AA54" s="80"/>
      <x:c r="AB54" s="80"/>
      <x:c r="AC54" s="80"/>
      <x:c r="AD54" s="80"/>
      <x:c r="AE54" s="80"/>
      <x:c r="AF54" s="80"/>
      <x:c r="AG54" s="80"/>
      <x:c r="AH54" s="80"/>
      <x:c r="AI54" s="80"/>
      <x:c r="AJ54" s="80"/>
      <x:c r="AK54" s="80"/>
    </x:row>
    <x:row r="55">
      <x:c r="A55" s="85"/>
      <x:c r="B55" s="80"/>
      <x:c r="C55" s="80"/>
      <x:c r="D55" s="80"/>
      <x:c r="E55" s="80"/>
      <x:c r="F55" s="80"/>
      <x:c r="G55" s="80"/>
      <x:c r="H55" s="80"/>
      <x:c r="I55" s="80"/>
      <x:c r="J55" s="80"/>
      <x:c r="K55" s="80"/>
      <x:c r="L55" s="80"/>
      <x:c r="M55" s="80"/>
      <x:c r="N55" s="80"/>
      <x:c r="O55" s="80"/>
      <x:c r="P55" s="80"/>
      <x:c r="Q55" s="80"/>
      <x:c r="R55" s="80"/>
      <x:c r="S55" s="80"/>
      <x:c r="T55" s="80"/>
      <x:c r="U55" s="80"/>
      <x:c r="V55" s="80"/>
      <x:c r="W55" s="80"/>
      <x:c r="X55" s="80"/>
      <x:c r="Y55" s="80"/>
      <x:c r="Z55" s="80"/>
      <x:c r="AA55" s="80"/>
      <x:c r="AB55" s="80"/>
      <x:c r="AC55" s="80"/>
      <x:c r="AD55" s="80"/>
      <x:c r="AE55" s="80"/>
      <x:c r="AF55" s="80"/>
      <x:c r="AG55" s="80"/>
      <x:c r="AH55" s="80"/>
      <x:c r="AI55" s="80"/>
      <x:c r="AJ55" s="80"/>
      <x:c r="AK55" s="80"/>
    </x:row>
    <x:row r="56">
      <x:c r="A56" s="85"/>
      <x:c r="B56" s="80"/>
      <x:c r="C56" s="80"/>
      <x:c r="D56" s="80"/>
      <x:c r="E56" s="80"/>
      <x:c r="F56" s="80"/>
      <x:c r="G56" s="80"/>
      <x:c r="H56" s="80"/>
      <x:c r="I56" s="80"/>
      <x:c r="J56" s="80"/>
      <x:c r="K56" s="80"/>
      <x:c r="L56" s="80"/>
      <x:c r="M56" s="80"/>
      <x:c r="N56" s="80"/>
      <x:c r="O56" s="80"/>
      <x:c r="P56" s="80"/>
      <x:c r="Q56" s="80"/>
      <x:c r="R56" s="80"/>
      <x:c r="S56" s="80"/>
      <x:c r="T56" s="80"/>
      <x:c r="U56" s="80"/>
      <x:c r="V56" s="80"/>
      <x:c r="W56" s="80"/>
      <x:c r="X56" s="80"/>
      <x:c r="Y56" s="80"/>
      <x:c r="Z56" s="80"/>
      <x:c r="AA56" s="80"/>
      <x:c r="AB56" s="80"/>
      <x:c r="AC56" s="80"/>
      <x:c r="AD56" s="80"/>
      <x:c r="AE56" s="80"/>
      <x:c r="AF56" s="80"/>
      <x:c r="AG56" s="80"/>
      <x:c r="AH56" s="80"/>
      <x:c r="AI56" s="80"/>
      <x:c r="AJ56" s="80"/>
      <x:c r="AK56" s="80"/>
    </x:row>
    <x:row r="57">
      <x:c r="A57" s="85"/>
      <x:c r="B57" s="80"/>
      <x:c r="C57" s="80"/>
      <x:c r="D57" s="80"/>
      <x:c r="E57" s="80"/>
      <x:c r="F57" s="80"/>
      <x:c r="G57" s="80"/>
      <x:c r="H57" s="80"/>
      <x:c r="I57" s="80"/>
      <x:c r="J57" s="80"/>
      <x:c r="K57" s="80"/>
      <x:c r="L57" s="80"/>
      <x:c r="M57" s="80"/>
      <x:c r="N57" s="80"/>
      <x:c r="O57" s="80"/>
      <x:c r="P57" s="80"/>
      <x:c r="Q57" s="80"/>
      <x:c r="R57" s="80"/>
      <x:c r="S57" s="80"/>
      <x:c r="T57" s="80"/>
      <x:c r="U57" s="80"/>
      <x:c r="V57" s="80"/>
      <x:c r="W57" s="80"/>
      <x:c r="X57" s="80"/>
      <x:c r="Y57" s="80"/>
      <x:c r="Z57" s="80"/>
      <x:c r="AA57" s="80"/>
      <x:c r="AB57" s="80"/>
      <x:c r="AC57" s="80"/>
      <x:c r="AD57" s="80"/>
      <x:c r="AE57" s="80"/>
      <x:c r="AF57" s="80"/>
      <x:c r="AG57" s="80"/>
      <x:c r="AH57" s="80"/>
      <x:c r="AI57" s="80"/>
      <x:c r="AJ57" s="80"/>
      <x:c r="AK57" s="80"/>
    </x:row>
    <x:row r="58">
      <x:c r="A58" s="85"/>
      <x:c r="B58" s="80"/>
      <x:c r="C58" s="80"/>
      <x:c r="D58" s="80"/>
      <x:c r="E58" s="80"/>
      <x:c r="F58" s="80"/>
      <x:c r="G58" s="80"/>
      <x:c r="H58" s="80"/>
      <x:c r="I58" s="80"/>
      <x:c r="J58" s="80"/>
      <x:c r="K58" s="80"/>
      <x:c r="L58" s="80"/>
      <x:c r="M58" s="80"/>
      <x:c r="N58" s="80"/>
      <x:c r="O58" s="80"/>
      <x:c r="P58" s="80"/>
      <x:c r="Q58" s="80"/>
      <x:c r="R58" s="80"/>
      <x:c r="S58" s="80"/>
      <x:c r="T58" s="80"/>
      <x:c r="U58" s="80"/>
      <x:c r="V58" s="80"/>
      <x:c r="W58" s="80"/>
      <x:c r="X58" s="80"/>
      <x:c r="Y58" s="80"/>
      <x:c r="Z58" s="80"/>
      <x:c r="AA58" s="80"/>
      <x:c r="AB58" s="80"/>
      <x:c r="AC58" s="80"/>
      <x:c r="AD58" s="80"/>
      <x:c r="AE58" s="80"/>
      <x:c r="AF58" s="80"/>
      <x:c r="AG58" s="80"/>
      <x:c r="AH58" s="80"/>
      <x:c r="AI58" s="80"/>
      <x:c r="AJ58" s="80"/>
      <x:c r="AK58" s="80"/>
    </x:row>
    <x:row r="59">
      <x:c r="A59" s="85"/>
      <x:c r="B59" s="80"/>
      <x:c r="C59" s="80"/>
      <x:c r="D59" s="80"/>
      <x:c r="E59" s="80"/>
      <x:c r="F59" s="80"/>
      <x:c r="G59" s="80"/>
      <x:c r="H59" s="80"/>
      <x:c r="I59" s="80"/>
      <x:c r="J59" s="80"/>
      <x:c r="K59" s="80"/>
      <x:c r="L59" s="80"/>
      <x:c r="M59" s="80"/>
      <x:c r="N59" s="80"/>
      <x:c r="O59" s="80"/>
      <x:c r="P59" s="80"/>
      <x:c r="Q59" s="80"/>
      <x:c r="R59" s="80"/>
      <x:c r="S59" s="80"/>
      <x:c r="T59" s="80"/>
      <x:c r="U59" s="80"/>
      <x:c r="V59" s="80"/>
      <x:c r="W59" s="80"/>
      <x:c r="X59" s="80"/>
      <x:c r="Y59" s="80"/>
      <x:c r="Z59" s="80"/>
      <x:c r="AA59" s="80"/>
      <x:c r="AB59" s="80"/>
      <x:c r="AC59" s="80"/>
      <x:c r="AD59" s="80"/>
      <x:c r="AE59" s="80"/>
      <x:c r="AF59" s="80"/>
      <x:c r="AG59" s="80"/>
      <x:c r="AH59" s="80"/>
      <x:c r="AI59" s="80"/>
      <x:c r="AJ59" s="80"/>
      <x:c r="AK59" s="80"/>
    </x:row>
    <x:row r="60">
      <x:c r="A60" s="85"/>
      <x:c r="B60" s="80"/>
      <x:c r="C60" s="80"/>
      <x:c r="D60" s="80"/>
      <x:c r="E60" s="80"/>
      <x:c r="F60" s="80"/>
      <x:c r="G60" s="80"/>
      <x:c r="H60" s="80"/>
      <x:c r="I60" s="80"/>
      <x:c r="J60" s="80"/>
      <x:c r="K60" s="80"/>
      <x:c r="L60" s="80"/>
      <x:c r="M60" s="80"/>
      <x:c r="N60" s="80"/>
      <x:c r="O60" s="80"/>
      <x:c r="P60" s="80"/>
      <x:c r="Q60" s="80"/>
      <x:c r="R60" s="80"/>
      <x:c r="S60" s="80"/>
      <x:c r="T60" s="80"/>
      <x:c r="U60" s="80"/>
      <x:c r="V60" s="80"/>
      <x:c r="W60" s="80"/>
      <x:c r="X60" s="80"/>
      <x:c r="Y60" s="80"/>
      <x:c r="Z60" s="80"/>
      <x:c r="AA60" s="80"/>
      <x:c r="AB60" s="80"/>
      <x:c r="AC60" s="80"/>
      <x:c r="AD60" s="80"/>
      <x:c r="AE60" s="80"/>
      <x:c r="AF60" s="80"/>
      <x:c r="AG60" s="80"/>
      <x:c r="AH60" s="80"/>
      <x:c r="AI60" s="80"/>
      <x:c r="AJ60" s="80"/>
      <x:c r="AK60" s="80"/>
    </x:row>
  </x:sheetData>
  <x:mergeCells>
    <x:mergeCell ref="A1:AK1"/>
  </x:mergeCells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FormatPr defaultRowHeight="15"/>
  <x:cols>
    <x:col min="1" max="1" width="42" hidden="0" customWidth="1"/>
    <x:col min="2" max="2" width="12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  <x:col min="11" max="11" width="12" hidden="0" customWidth="1"/>
    <x:col min="12" max="12" width="12" hidden="0" customWidth="1"/>
    <x:col min="13" max="13" width="12" hidden="0" customWidth="1"/>
    <x:col min="14" max="14" width="12" hidden="0" customWidth="1"/>
    <x:col min="15" max="15" width="12" hidden="0" customWidth="1"/>
    <x:col min="16" max="16" width="12" hidden="0" customWidth="1"/>
    <x:col min="17" max="17" width="12" hidden="0" customWidth="1"/>
    <x:col min="18" max="18" width="12" hidden="0" customWidth="1"/>
    <x:col min="19" max="19" width="12" hidden="0" customWidth="1"/>
    <x:col min="20" max="20" width="12" hidden="0" customWidth="1"/>
    <x:col min="21" max="21" width="12" hidden="0" customWidth="1"/>
    <x:col min="22" max="22" width="12" hidden="0" customWidth="1"/>
    <x:col min="23" max="23" width="12" hidden="0" customWidth="1"/>
    <x:col min="24" max="24" width="12" hidden="0" customWidth="1"/>
    <x:col min="25" max="25" width="12" hidden="0" customWidth="1"/>
    <x:col min="26" max="26" width="12" hidden="0" customWidth="1"/>
    <x:col min="27" max="27" width="12" hidden="0" customWidth="1"/>
    <x:col min="28" max="28" width="12" hidden="0" customWidth="1"/>
    <x:col min="29" max="29" width="12" hidden="0" customWidth="1"/>
    <x:col min="30" max="30" width="12" hidden="0" customWidth="1"/>
    <x:col min="31" max="31" width="12" hidden="0" customWidth="1"/>
    <x:col min="32" max="32" width="12" hidden="0" customWidth="1"/>
    <x:col min="33" max="33" width="12" hidden="0" customWidth="1"/>
    <x:col min="34" max="34" width="12" hidden="0" customWidth="1"/>
    <x:col min="35" max="35" width="12" hidden="0" customWidth="1"/>
    <x:col min="36" max="36" width="12" hidden="0" customWidth="1"/>
    <x:col min="37" max="37" width="12" hidden="0" customWidth="1"/>
  </x:cols>
  <x:sheetData>
    <x:row r="1">
      <x:c r="A1" s="66" t="str">
        <x:v>QORSYS — движение денежных средств, 36 месяцев</x:v>
      </x:c>
      <x:c r="B1" s="66"/>
      <x:c r="C1" s="66"/>
      <x:c r="D1" s="66"/>
      <x:c r="E1" s="66"/>
      <x:c r="F1" s="66"/>
      <x:c r="G1" s="66"/>
      <x:c r="H1" s="66"/>
      <x:c r="I1" s="66"/>
      <x:c r="J1" s="66"/>
      <x:c r="K1" s="66"/>
      <x:c r="L1" s="66"/>
      <x:c r="M1" s="66"/>
      <x:c r="N1" s="66"/>
      <x:c r="O1" s="66"/>
      <x:c r="P1" s="66"/>
      <x:c r="Q1" s="66"/>
      <x:c r="R1" s="66"/>
      <x:c r="S1" s="66"/>
      <x:c r="T1" s="66"/>
      <x:c r="U1" s="66"/>
      <x:c r="V1" s="66"/>
      <x:c r="W1" s="66"/>
      <x:c r="X1" s="66"/>
      <x:c r="Y1" s="66"/>
      <x:c r="Z1" s="66"/>
      <x:c r="AA1" s="66"/>
      <x:c r="AB1" s="66"/>
      <x:c r="AC1" s="66"/>
      <x:c r="AD1" s="66"/>
      <x:c r="AE1" s="66"/>
      <x:c r="AF1" s="66"/>
      <x:c r="AG1" s="66"/>
      <x:c r="AH1" s="66"/>
      <x:c r="AI1" s="66"/>
      <x:c r="AJ1" s="66"/>
      <x:c r="AK1" s="66"/>
    </x:row>
    <x:row r="3" ht="26" customHeight="1">
      <x:c r="A3" s="69" t="str">
        <x:v>Показатель</x:v>
      </x:c>
      <x:c r="B3" s="76" t="str">
        <x:v>М1</x:v>
      </x:c>
      <x:c r="C3" s="76" t="str">
        <x:v>М2</x:v>
      </x:c>
      <x:c r="D3" s="76" t="str">
        <x:v>М3</x:v>
      </x:c>
      <x:c r="E3" s="76" t="str">
        <x:v>М4</x:v>
      </x:c>
      <x:c r="F3" s="76" t="str">
        <x:v>М5</x:v>
      </x:c>
      <x:c r="G3" s="76" t="str">
        <x:v>М6</x:v>
      </x:c>
      <x:c r="H3" s="76" t="str">
        <x:v>М7</x:v>
      </x:c>
      <x:c r="I3" s="76" t="str">
        <x:v>М8</x:v>
      </x:c>
      <x:c r="J3" s="76" t="str">
        <x:v>М9</x:v>
      </x:c>
      <x:c r="K3" s="76" t="str">
        <x:v>М10</x:v>
      </x:c>
      <x:c r="L3" s="76" t="str">
        <x:v>М11</x:v>
      </x:c>
      <x:c r="M3" s="76" t="str">
        <x:v>М12</x:v>
      </x:c>
      <x:c r="N3" s="76" t="str">
        <x:v>М13</x:v>
      </x:c>
      <x:c r="O3" s="76" t="str">
        <x:v>М14</x:v>
      </x:c>
      <x:c r="P3" s="76" t="str">
        <x:v>М15</x:v>
      </x:c>
      <x:c r="Q3" s="76" t="str">
        <x:v>М16</x:v>
      </x:c>
      <x:c r="R3" s="76" t="str">
        <x:v>М17</x:v>
      </x:c>
      <x:c r="S3" s="76" t="str">
        <x:v>М18</x:v>
      </x:c>
      <x:c r="T3" s="76" t="str">
        <x:v>М19</x:v>
      </x:c>
      <x:c r="U3" s="76" t="str">
        <x:v>М20</x:v>
      </x:c>
      <x:c r="V3" s="76" t="str">
        <x:v>М21</x:v>
      </x:c>
      <x:c r="W3" s="76" t="str">
        <x:v>М22</x:v>
      </x:c>
      <x:c r="X3" s="76" t="str">
        <x:v>М23</x:v>
      </x:c>
      <x:c r="Y3" s="76" t="str">
        <x:v>М24</x:v>
      </x:c>
      <x:c r="Z3" s="76" t="str">
        <x:v>М25</x:v>
      </x:c>
      <x:c r="AA3" s="76" t="str">
        <x:v>М26</x:v>
      </x:c>
      <x:c r="AB3" s="76" t="str">
        <x:v>М27</x:v>
      </x:c>
      <x:c r="AC3" s="76" t="str">
        <x:v>М28</x:v>
      </x:c>
      <x:c r="AD3" s="76" t="str">
        <x:v>М29</x:v>
      </x:c>
      <x:c r="AE3" s="76" t="str">
        <x:v>М30</x:v>
      </x:c>
      <x:c r="AF3" s="76" t="str">
        <x:v>М31</x:v>
      </x:c>
      <x:c r="AG3" s="76" t="str">
        <x:v>М32</x:v>
      </x:c>
      <x:c r="AH3" s="76" t="str">
        <x:v>М33</x:v>
      </x:c>
      <x:c r="AI3" s="76" t="str">
        <x:v>М34</x:v>
      </x:c>
      <x:c r="AJ3" s="76" t="str">
        <x:v>М35</x:v>
      </x:c>
      <x:c r="AK3" s="76" t="str">
        <x:v>М36</x:v>
      </x:c>
    </x:row>
    <x:row r="4">
      <x:c r="A4" s="85" t="str">
        <x:v>Денежные средства на начало периода</x:v>
      </x:c>
      <x:c r="B4" s="78" t="n">
        <x:f>'Допущения'!$K$14</x:f>
        <x:v>0</x:v>
      </x:c>
      <x:c r="C4" s="78" t="n">
        <x:f>B11</x:f>
        <x:v>12215648.102803739</x:v>
      </x:c>
      <x:c r="D4" s="78" t="n">
        <x:f>C11</x:f>
        <x:v>10032846.205607478</x:v>
      </x:c>
      <x:c r="E4" s="78" t="n">
        <x:f>D11</x:f>
        <x:v>8109006.308411216</x:v>
      </x:c>
      <x:c r="F4" s="78" t="n">
        <x:f>E11</x:f>
        <x:v>6358301.361308414</x:v>
      </x:c>
      <x:c r="G4" s="78" t="n">
        <x:f>F11</x:f>
        <x:v>4948305.070405612</x:v>
      </x:c>
      <x:c r="H4" s="78" t="n">
        <x:f>G11</x:f>
        <x:v>3875610.349140809</x:v>
      </x:c>
      <x:c r="I4" s="78" t="n">
        <x:f>H11</x:f>
        <x:v>2944341.836023233</x:v>
      </x:c>
      <x:c r="J4" s="78" t="n">
        <x:f>I11</x:f>
        <x:v>2180562.591307861</x:v>
      </x:c>
      <x:c r="K4" s="78" t="n">
        <x:f>J11</x:f>
        <x:v>1830097.7223106693</x:v>
      </x:c>
      <x:c r="L4" s="78" t="n">
        <x:f>K11</x:f>
        <x:v>1631167.4553679358</x:v>
      </x:c>
      <x:c r="M4" s="78" t="n">
        <x:f>L11</x:f>
        <x:v>1837326.608066593</x:v>
      </x:c>
      <x:c r="N4" s="78" t="n">
        <x:f>M11</x:f>
        <x:v>2444524.286210225</x:v>
      </x:c>
      <x:c r="O4" s="78" t="n">
        <x:f>N11</x:f>
        <x:v>3805830.760548123</x:v>
      </x:c>
      <x:c r="P4" s="78" t="n">
        <x:f>O11</x:f>
        <x:v>5647095.093674642</x:v>
      </x:c>
      <x:c r="Q4" s="78" t="n">
        <x:f>P11</x:f>
        <x:v>7713517.707001898</x:v>
      </x:c>
      <x:c r="R4" s="78" t="n">
        <x:f>Q11</x:f>
        <x:v>10312243.36947188</x:v>
      </x:c>
      <x:c r="S4" s="78" t="n">
        <x:f>R11</x:f>
        <x:v>13376671.662366603</x:v>
      </x:c>
      <x:c r="T4" s="78" t="n">
        <x:f>S11</x:f>
        <x:v>16902145.55938182</x:v>
      </x:c>
      <x:c r="U4" s="78" t="n">
        <x:f>T11</x:f>
        <x:v>20940999.248080805</x:v>
      </x:c>
      <x:c r="V4" s="78" t="n">
        <x:f>U11</x:f>
        <x:v>25431723.733378284</x:v>
      </x:c>
      <x:c r="W4" s="78" t="n">
        <x:f>V11</x:f>
        <x:v>30369800.30730827</x:v>
      </x:c>
      <x:c r="X4" s="78" t="n">
        <x:f>W11</x:f>
        <x:v>35803144.521100566</x:v>
      </x:c>
      <x:c r="Y4" s="78" t="n">
        <x:f>X11</x:f>
        <x:v>41674938.51696158</x:v>
      </x:c>
      <x:c r="Z4" s="78" t="n">
        <x:f>Y11</x:f>
        <x:v>47980797.79707064</x:v>
      </x:c>
      <x:c r="AA4" s="78" t="n">
        <x:f>Z11</x:f>
        <x:v>56463062.06627303</x:v>
      </x:c>
      <x:c r="AB4" s="78" t="n">
        <x:f>AA11</x:f>
        <x:v>65368353.72056693</x:v>
      </x:c>
      <x:c r="AC4" s="78" t="n">
        <x:f>AB11</x:f>
        <x:v>75038942.48610142</x:v>
      </x:c>
      <x:c r="AD4" s="78" t="n">
        <x:f>AC11</x:f>
        <x:v>85541078.90949589</x:v>
      </x:c>
      <x:c r="AE4" s="78" t="n">
        <x:f>AD11</x:f>
        <x:v>96793283.03161725</x:v>
      </x:c>
      <x:c r="AF4" s="78" t="n">
        <x:f>AE11</x:f>
        <x:v>108788054.17547825</x:v>
      </x:c>
      <x:c r="AG4" s="78" t="n">
        <x:f>AF11</x:f>
        <x:v>121585957.90717474</x:v>
      </x:c>
      <x:c r="AH4" s="78" t="n">
        <x:f>AG11</x:f>
        <x:v>135111651.57687825</x:v>
      </x:c>
      <x:c r="AI4" s="78" t="n">
        <x:f>AH11</x:f>
        <x:v>149357857.2852087</x:v>
      </x:c>
      <x:c r="AJ4" s="78" t="n">
        <x:f>AI11</x:f>
        <x:v>164379921.84918803</x:v>
      </x:c>
      <x:c r="AK4" s="78" t="n">
        <x:f>AJ11</x:f>
        <x:v>180091219.6283054</x:v>
      </x:c>
    </x:row>
    <x:row r="5">
      <x:c r="A5" s="85" t="str">
        <x:v>Поступления от клиентов</x:v>
      </x:c>
      <x:c r="B5" s="78" t="n">
        <x:f>'Прибыли и убытки'!B9</x:f>
        <x:v>1650000.0000000002</x:v>
      </x:c>
      <x:c r="C5" s="78" t="n">
        <x:f>'Прибыли и убытки'!C9</x:f>
        <x:v>2695000</x:v>
      </x:c>
      <x:c r="D5" s="78" t="n">
        <x:f>'Прибыли и убытки'!D9</x:f>
        <x:v>3022800</x:v>
      </x:c>
      <x:c r="E5" s="78" t="n">
        <x:f>'Прибыли и убытки'!E9</x:f>
        <x:v>4172322.0000000005</x:v>
      </x:c>
      <x:c r="F5" s="78" t="n">
        <x:f>'Прибыли и убытки'!F9</x:f>
        <x:v>4603598.780000001</x:v>
      </x:c>
      <x:c r="G5" s="78" t="n">
        <x:f>'Прибыли и убытки'!G9</x:f>
        <x:v>5030562.792200001</x:v>
      </x:c>
      <x:c r="H5" s="78" t="n">
        <x:f>'Прибыли и убытки'!H9</x:f>
        <x:v>6278257.164278001</x:v>
      </x:c>
      <x:c r="I5" s="78" t="n">
        <x:f>'Прибыли и убытки'!I9</x:f>
        <x:v>6806724.59263522</x:v>
      </x:c>
      <x:c r="J5" s="78" t="n">
        <x:f>'Прибыли и убытки'!J9</x:f>
        <x:v>7329907.346708868</x:v>
      </x:c>
      <x:c r="K5" s="78" t="n">
        <x:f>'Прибыли и убытки'!K9</x:f>
        <x:v>7847858.273241779</x:v>
      </x:c>
      <x:c r="L5" s="78" t="n">
        <x:f>'Прибыли и убытки'!L9</x:f>
        <x:v>8360629.690509362</x:v>
      </x:c>
      <x:c r="M5" s="78" t="n">
        <x:f>'Прибыли и убытки'!M9</x:f>
        <x:v>8868273.393604267</x:v>
      </x:c>
      <x:c r="N5" s="78" t="n">
        <x:f>'Прибыли и убытки'!N9</x:f>
        <x:v>10195840.659668226</x:v>
      </x:c>
      <x:c r="O5" s="78" t="n">
        <x:f>'Прибыли и убытки'!O9</x:f>
        <x:v>10803382.253071543</x:v>
      </x:c>
      <x:c r="P5" s="78" t="n">
        <x:f>'Прибыли и убытки'!P9</x:f>
        <x:v>11404848.43054083</x:v>
      </x:c>
      <x:c r="Q5" s="78" t="n">
        <x:f>'Прибыли и убытки'!Q9</x:f>
        <x:v>12000299.94623542</x:v>
      </x:c>
      <x:c r="R5" s="78" t="n">
        <x:f>'Прибыли и убытки'!R9</x:f>
        <x:v>12589796.946773067</x:v>
      </x:c>
      <x:c r="S5" s="78" t="n">
        <x:f>'Прибыли и убытки'!S9</x:f>
        <x:v>13173398.977305338</x:v>
      </x:c>
      <x:c r="T5" s="78" t="n">
        <x:f>'Прибыли и убытки'!T9</x:f>
        <x:v>13751164.987532284</x:v>
      </x:c>
      <x:c r="U5" s="78" t="n">
        <x:f>'Прибыли и убытки'!U9</x:f>
        <x:v>14323153.33765696</x:v>
      </x:c>
      <x:c r="V5" s="78" t="n">
        <x:f>'Прибыли и убытки'!V9</x:f>
        <x:v>14889421.804280391</x:v>
      </x:c>
      <x:c r="W5" s="78" t="n">
        <x:f>'Прибыли и убытки'!W9</x:f>
        <x:v>15450027.586237587</x:v>
      </x:c>
      <x:c r="X5" s="78" t="n">
        <x:f>'Прибыли и убытки'!X9</x:f>
        <x:v>16005027.310375212</x:v>
      </x:c>
      <x:c r="Y5" s="78" t="n">
        <x:f>'Прибыли и убытки'!Y9</x:f>
        <x:v>16554477.03727146</x:v>
      </x:c>
      <x:c r="Z5" s="78" t="n">
        <x:f>'Прибыли и убытки'!Z9</x:f>
        <x:v>20398432.266898744</x:v>
      </x:c>
      <x:c r="AA5" s="78" t="n">
        <x:f>'Прибыли и убытки'!AA9</x:f>
        <x:v>21376947.94422976</x:v>
      </x:c>
      <x:c r="AB5" s="78" t="n">
        <x:f>'Прибыли и убытки'!AB9</x:f>
        <x:v>22345678.46478746</x:v>
      </x:c>
      <x:c r="AC5" s="78" t="n">
        <x:f>'Прибыли и убытки'!AC9</x:f>
        <x:v>23304721.680139586</x:v>
      </x:c>
      <x:c r="AD5" s="78" t="n">
        <x:f>'Прибыли и убытки'!AD9</x:f>
        <x:v>24254174.46333819</x:v>
      </x:c>
      <x:c r="AE5" s="78" t="n">
        <x:f>'Прибыли и убытки'!AE9</x:f>
        <x:v>25194132.71870481</x:v>
      </x:c>
      <x:c r="AF5" s="78" t="n">
        <x:f>'Прибыли и убытки'!AF9</x:f>
        <x:v>26124691.391517762</x:v>
      </x:c>
      <x:c r="AG5" s="78" t="n">
        <x:f>'Прибыли и убытки'!AG9</x:f>
        <x:v>27045944.477602586</x:v>
      </x:c>
      <x:c r="AH5" s="78" t="n">
        <x:f>'Прибыли и убытки'!AH9</x:f>
        <x:v>27957985.03282656</x:v>
      </x:c>
      <x:c r="AI5" s="78" t="n">
        <x:f>'Прибыли и убытки'!AI9</x:f>
        <x:v>28860905.182498295</x:v>
      </x:c>
      <x:c r="AJ5" s="78" t="n">
        <x:f>'Прибыли и убытки'!AJ9</x:f>
        <x:v>29754796.130673315</x:v>
      </x:c>
      <x:c r="AK5" s="78" t="n">
        <x:f>'Прибыли и убытки'!AK9</x:f>
        <x:v>30639748.169366583</x:v>
      </x:c>
    </x:row>
    <x:row r="6">
      <x:c r="A6" s="85" t="str">
        <x:v>Операционные выплаты</x:v>
      </x:c>
      <x:c r="B6" s="78" t="n">
        <x:f>'Прибыли и убытки'!B16+'Прибыли и убытки'!B25</x:f>
        <x:v>4384851.897196261</x:v>
      </x:c>
      <x:c r="C6" s="78" t="n">
        <x:f>'Прибыли и убытки'!C16+'Прибыли и убытки'!C25</x:f>
        <x:v>4796951.897196261</x:v>
      </x:c>
      <x:c r="D6" s="78" t="n">
        <x:f>'Прибыли и убытки'!D16+'Прибыли и убытки'!D25</x:f>
        <x:v>4855955.897196261</x:v>
      </x:c>
      <x:c r="E6" s="78" t="n">
        <x:f>'Прибыли и убытки'!E16+'Прибыли и убытки'!E25</x:f>
        <x:v>5797857.287102804</x:v>
      </x:c>
      <x:c r="F6" s="78" t="n">
        <x:f>'Прибыли и убытки'!F16+'Прибыли и убытки'!F25</x:f>
        <x:v>5875487.107502803</x:v>
      </x:c>
      <x:c r="G6" s="78" t="n">
        <x:f>'Прибыли и убытки'!G16+'Прибыли и убытки'!G25</x:f>
        <x:v>5952340.629698804</x:v>
      </x:c>
      <x:c r="H6" s="78" t="n">
        <x:f>'Прибыли и убытки'!H16+'Прибыли и убытки'!H25</x:f>
        <x:v>7021177.962467236</x:v>
      </x:c>
      <x:c r="I6" s="78" t="n">
        <x:f>'Прибыли и убытки'!I16+'Прибыли и убытки'!I25</x:f>
        <x:v>7366302.099571535</x:v>
      </x:c>
      <x:c r="J6" s="78" t="n">
        <x:f>'Прибыли и убытки'!J16+'Прибыли и убытки'!J25</x:f>
        <x:v>7460474.995304793</x:v>
      </x:c>
      <x:c r="K6" s="78" t="n">
        <x:f>'Прибыли и убытки'!K16+'Прибыли и убытки'!K25</x:f>
        <x:v>7811352.791987259</x:v>
      </x:c>
      <x:c r="L6" s="78" t="n">
        <x:f>'Прибыли и убытки'!L16+'Прибыли и убытки'!L25</x:f>
        <x:v>7903651.647095424</x:v>
      </x:c>
      <x:c r="M6" s="78" t="n">
        <x:f>'Прибыли и убытки'!M16+'Прибыли и убытки'!M25</x:f>
        <x:v>7995027.513652507</x:v>
      </x:c>
      <x:c r="N6" s="78" t="n">
        <x:f>'Прибыли и убытки'!N16+'Прибыли и убытки'!N25</x:f>
        <x:v>8528658.96554028</x:v>
      </x:c>
      <x:c r="O6" s="78" t="n">
        <x:f>'Прибыли и убытки'!O16+'Прибыли и убытки'!O25</x:f>
        <x:v>8638016.452352878</x:v>
      </x:c>
      <x:c r="P6" s="78" t="n">
        <x:f>'Прибыли и убытки'!P16+'Прибыли и убытки'!P25</x:f>
        <x:v>8996280.364297349</x:v>
      </x:c>
      <x:c r="Q6" s="78" t="n">
        <x:f>'Прибыли и убытки'!Q16+'Прибыли и убытки'!Q25</x:f>
        <x:v>9041565.285378376</x:v>
      </x:c>
      <x:c r="R6" s="78" t="n">
        <x:f>'Прибыли и убытки'!R16+'Прибыли и убытки'!R25</x:f>
        <x:v>9147674.745475153</x:v>
      </x:c>
      <x:c r="S6" s="78" t="n">
        <x:f>'Прибыли и убытки'!S16+'Прибыли и убытки'!S25</x:f>
        <x:v>9252723.11097096</x:v>
      </x:c>
      <x:c r="T6" s="78" t="n">
        <x:f>'Прибыли и убытки'!T16+'Прибыли и убытки'!T25</x:f>
        <x:v>9299776.34920733</x:v>
      </x:c>
      <x:c r="U6" s="78" t="n">
        <x:f>'Прибыли и убытки'!U16+'Прибыли и убытки'!U25</x:f>
        <x:v>9402734.252229773</x:v>
      </x:c>
      <x:c r="V6" s="78" t="n">
        <x:f>'Прибыли и убытки'!V16+'Прибыли и убытки'!V25</x:f>
        <x:v>9504662.576221991</x:v>
      </x:c>
      <x:c r="W6" s="78" t="n">
        <x:f>'Прибыли и убытки'!W16+'Прибыли и убытки'!W25</x:f>
        <x:v>9553182.544858165</x:v>
      </x:c>
      <x:c r="X6" s="78" t="n">
        <x:f>'Прибыли и убытки'!X16+'Прибыли и убытки'!X25</x:f>
        <x:v>9653082.495202936</x:v>
      </x:c>
      <x:c r="Y6" s="78" t="n">
        <x:f>'Прибыли и убытки'!Y16+'Прибыли и убытки'!Y25</x:f>
        <x:v>9751983.446044262</x:v>
      </x:c>
      <x:c r="Z6" s="78" t="n">
        <x:f>'Прибыли и убытки'!Z16+'Прибыли и убытки'!Z25</x:f>
        <x:v>11304215.029689385</x:v>
      </x:c>
      <x:c r="AA6" s="78" t="n">
        <x:f>'Прибыли и убытки'!AA16+'Прибыли и убытки'!AA25</x:f>
        <x:v>11830347.851608967</x:v>
      </x:c>
      <x:c r="AB6" s="78" t="n">
        <x:f>'Прибыли и убытки'!AB16+'Прибыли и убытки'!AB25</x:f>
        <x:v>12004719.345309354</x:v>
      </x:c>
      <x:c r="AC6" s="78" t="n">
        <x:f>'Прибыли и убытки'!AC16+'Прибыли и убытки'!AC25</x:f>
        <x:v>12103443.606340928</x:v>
      </x:c>
      <x:c r="AD6" s="78" t="n">
        <x:f>'Прибыли и убытки'!AD16+'Прибыли и убытки'!AD25</x:f>
        <x:v>12274345.107316677</x:v>
      </x:c>
      <x:c r="AE6" s="78" t="n">
        <x:f>'Прибыли и убытки'!AE16+'Прибыли и убытки'!AE25</x:f>
        <x:v>12443537.593282668</x:v>
      </x:c>
      <x:c r="AF6" s="78" t="n">
        <x:f>'Прибыли и убытки'!AF16+'Прибыли и убытки'!AF25</x:f>
        <x:v>12543046.918075735</x:v>
      </x:c>
      <x:c r="AG6" s="78" t="n">
        <x:f>'Прибыли и убытки'!AG16+'Прибыли и убытки'!AG25</x:f>
        <x:v>12708872.473571002</x:v>
      </x:c>
      <x:c r="AH6" s="78" t="n">
        <x:f>'Прибыли и убытки'!AH16+'Прибыли и убытки'!AH25</x:f>
        <x:v>12873039.773511318</x:v>
      </x:c>
      <x:c r="AI6" s="78" t="n">
        <x:f>'Прибыли и убытки'!AI16+'Прибыли и убытки'!AI25</x:f>
        <x:v>12973013.463044029</x:v>
      </x:c>
      <x:c r="AJ6" s="78" t="n">
        <x:f>'Прибыли и убытки'!AJ16+'Прибыли и убытки'!AJ25</x:f>
        <x:v>13133913.833715532</x:v>
      </x:c>
      <x:c r="AK6" s="78" t="n">
        <x:f>'Прибыли и убытки'!AK16+'Прибыли и убытки'!AK25</x:f>
        <x:v>13293205.20068032</x:v>
      </x:c>
    </x:row>
    <x:row r="7">
      <x:c r="A7" s="85" t="str">
        <x:v>Налоги</x:v>
      </x:c>
      <x:c r="B7" s="78" t="n">
        <x:f>'Прибыли и убытки'!B29</x:f>
        <x:v>49500.00000000001</x:v>
      </x:c>
      <x:c r="C7" s="78" t="n">
        <x:f>'Прибыли и убытки'!C29</x:f>
        <x:v>80850</x:v>
      </x:c>
      <x:c r="D7" s="78" t="n">
        <x:f>'Прибыли и убытки'!D29</x:f>
        <x:v>90684</x:v>
      </x:c>
      <x:c r="E7" s="78" t="n">
        <x:f>'Прибыли и убытки'!E29</x:f>
        <x:v>125169.66</x:v>
      </x:c>
      <x:c r="F7" s="78" t="n">
        <x:f>'Прибыли и убытки'!F29</x:f>
        <x:v>138107.96340000004</x:v>
      </x:c>
      <x:c r="G7" s="78" t="n">
        <x:f>'Прибыли и убытки'!G29</x:f>
        <x:v>150916.883766</x:v>
      </x:c>
      <x:c r="H7" s="78" t="n">
        <x:f>'Прибыли и убытки'!H29</x:f>
        <x:v>188347.71492834002</x:v>
      </x:c>
      <x:c r="I7" s="78" t="n">
        <x:f>'Прибыли и убытки'!I29</x:f>
        <x:v>204201.7377790566</x:v>
      </x:c>
      <x:c r="J7" s="78" t="n">
        <x:f>'Прибыли и убытки'!J29</x:f>
        <x:v>219897.22040126604</x:v>
      </x:c>
      <x:c r="K7" s="78" t="n">
        <x:f>'Прибыли и убытки'!K29</x:f>
        <x:v>235435.74819725336</x:v>
      </x:c>
      <x:c r="L7" s="78" t="n">
        <x:f>'Прибыли и убытки'!L29</x:f>
        <x:v>250818.89071528087</x:v>
      </x:c>
      <x:c r="M7" s="78" t="n">
        <x:f>'Прибыли и убытки'!M29</x:f>
        <x:v>266048.20180812804</x:v>
      </x:c>
      <x:c r="N7" s="78" t="n">
        <x:f>'Прибыли и убытки'!N29</x:f>
        <x:v>305875.21979004674</x:v>
      </x:c>
      <x:c r="O7" s="78" t="n">
        <x:f>'Прибыли и убытки'!O29</x:f>
        <x:v>324101.46759214625</x:v>
      </x:c>
      <x:c r="P7" s="78" t="n">
        <x:f>'Прибыли и убытки'!P29</x:f>
        <x:v>342145.4529162249</x:v>
      </x:c>
      <x:c r="Q7" s="78" t="n">
        <x:f>'Прибыли и убытки'!Q29</x:f>
        <x:v>360008.9983870626</x:v>
      </x:c>
      <x:c r="R7" s="78" t="n">
        <x:f>'Прибыли и убытки'!R29</x:f>
        <x:v>377693.908403192</x:v>
      </x:c>
      <x:c r="S7" s="78" t="n">
        <x:f>'Прибыли и убытки'!S29</x:f>
        <x:v>395201.9693191601</x:v>
      </x:c>
      <x:c r="T7" s="78" t="n">
        <x:f>'Прибыли и убытки'!T29</x:f>
        <x:v>412534.9496259685</x:v>
      </x:c>
      <x:c r="U7" s="78" t="n">
        <x:f>'Прибыли и убытки'!U29</x:f>
        <x:v>429694.60012970876</x:v>
      </x:c>
      <x:c r="V7" s="78" t="n">
        <x:f>'Прибыли и убытки'!V29</x:f>
        <x:v>446682.6541284117</x:v>
      </x:c>
      <x:c r="W7" s="78" t="n">
        <x:f>'Прибыли и убытки'!W29</x:f>
        <x:v>463500.82758712757</x:v>
      </x:c>
      <x:c r="X7" s="78" t="n">
        <x:f>'Прибыли и убытки'!X29</x:f>
        <x:v>480150.81931125635</x:v>
      </x:c>
      <x:c r="Y7" s="78" t="n">
        <x:f>'Прибыли и убытки'!Y29</x:f>
        <x:v>496634.3111181438</x:v>
      </x:c>
      <x:c r="Z7" s="78" t="n">
        <x:f>'Прибыли и убытки'!Z29</x:f>
        <x:v>611952.9680069623</x:v>
      </x:c>
      <x:c r="AA7" s="78" t="n">
        <x:f>'Прибыли и убытки'!AA29</x:f>
        <x:v>641308.4383268928</x:v>
      </x:c>
      <x:c r="AB7" s="78" t="n">
        <x:f>'Прибыли и убытки'!AB29</x:f>
        <x:v>670370.3539436238</x:v>
      </x:c>
      <x:c r="AC7" s="78" t="n">
        <x:f>'Прибыли и убытки'!AC29</x:f>
        <x:v>699141.6504041876</x:v>
      </x:c>
      <x:c r="AD7" s="78" t="n">
        <x:f>'Прибыли и убытки'!AD29</x:f>
        <x:v>727625.2339001456</x:v>
      </x:c>
      <x:c r="AE7" s="78" t="n">
        <x:f>'Прибыли и убытки'!AE29</x:f>
        <x:v>755823.9815611442</x:v>
      </x:c>
      <x:c r="AF7" s="78" t="n">
        <x:f>'Прибыли и убытки'!AF29</x:f>
        <x:v>783740.7417455328</x:v>
      </x:c>
      <x:c r="AG7" s="78" t="n">
        <x:f>'Прибыли и убытки'!AG29</x:f>
        <x:v>811378.3343280775</x:v>
      </x:c>
      <x:c r="AH7" s="78" t="n">
        <x:f>'Прибыли и убытки'!AH29</x:f>
        <x:v>838739.5509847968</x:v>
      </x:c>
      <x:c r="AI7" s="78" t="n">
        <x:f>'Прибыли и убытки'!AI29</x:f>
        <x:v>865827.1554749488</x:v>
      </x:c>
      <x:c r="AJ7" s="78" t="n">
        <x:f>'Прибыли и убытки'!AJ29</x:f>
        <x:v>909584.5178403989</x:v>
      </x:c>
      <x:c r="AK7" s="78" t="n">
        <x:f>'Прибыли и убытки'!AK29</x:f>
        <x:v>962681.6401619948</x:v>
      </x:c>
    </x:row>
    <x:row r="8">
      <x:c r="A8" s="85" t="str">
        <x:v>Операционный денежный поток</x:v>
      </x:c>
      <x:c r="B8" s="78" t="n">
        <x:f>B5-B6-B7</x:f>
        <x:v>-2784351.897196261</x:v>
      </x:c>
      <x:c r="C8" s="78" t="n">
        <x:f>C5-C6-C7</x:f>
        <x:v>-2182801.897196261</x:v>
      </x:c>
      <x:c r="D8" s="78" t="n">
        <x:f>D5-D6-D7</x:f>
        <x:v>-1923839.8971962612</x:v>
      </x:c>
      <x:c r="E8" s="78" t="n">
        <x:f>E5-E6-E7</x:f>
        <x:v>-1750704.947102803</x:v>
      </x:c>
      <x:c r="F8" s="78" t="n">
        <x:f>F5-F6-F7</x:f>
        <x:v>-1409996.290902802</x:v>
      </x:c>
      <x:c r="G8" s="78" t="n">
        <x:f>G5-G6-G7</x:f>
        <x:v>-1072694.7212648026</x:v>
      </x:c>
      <x:c r="H8" s="78" t="n">
        <x:f>H5-H6-H7</x:f>
        <x:v>-931268.5131175759</x:v>
      </x:c>
      <x:c r="I8" s="78" t="n">
        <x:f>I5-I6-I7</x:f>
        <x:v>-763779.2447153721</x:v>
      </x:c>
      <x:c r="J8" s="78" t="n">
        <x:f>J5-J6-J7</x:f>
        <x:v>-350464.8689971914</x:v>
      </x:c>
      <x:c r="K8" s="78" t="n">
        <x:f>K5-K6-K7</x:f>
        <x:v>-198930.26694273346</x:v>
      </x:c>
      <x:c r="L8" s="78" t="n">
        <x:f>L5-L6-L7</x:f>
        <x:v>206159.15269865716</x:v>
      </x:c>
      <x:c r="M8" s="78" t="n">
        <x:f>M5-M6-M7</x:f>
        <x:v>607197.6781436321</x:v>
      </x:c>
      <x:c r="N8" s="78" t="n">
        <x:f>N5-N6-N7</x:f>
        <x:v>1361306.4743378984</x:v>
      </x:c>
      <x:c r="O8" s="78" t="n">
        <x:f>O5-O6-O7</x:f>
        <x:v>1841264.3331265189</x:v>
      </x:c>
      <x:c r="P8" s="78" t="n">
        <x:f>P5-P6-P7</x:f>
        <x:v>2066422.613327256</x:v>
      </x:c>
      <x:c r="Q8" s="78" t="n">
        <x:f>Q5-Q6-Q7</x:f>
        <x:v>2598725.6624699817</x:v>
      </x:c>
      <x:c r="R8" s="78" t="n">
        <x:f>R5-R6-R7</x:f>
        <x:v>3064428.2928947224</x:v>
      </x:c>
      <x:c r="S8" s="78" t="n">
        <x:f>S5-S6-S7</x:f>
        <x:v>3525473.8970152168</x:v>
      </x:c>
      <x:c r="T8" s="78" t="n">
        <x:f>T5-T6-T7</x:f>
        <x:v>4038853.688698985</x:v>
      </x:c>
      <x:c r="U8" s="78" t="n">
        <x:f>U5-U6-U7</x:f>
        <x:v>4490724.485297479</x:v>
      </x:c>
      <x:c r="V8" s="78" t="n">
        <x:f>V5-V6-V7</x:f>
        <x:v>4938076.573929988</x:v>
      </x:c>
      <x:c r="W8" s="78" t="n">
        <x:f>W5-W6-W7</x:f>
        <x:v>5433344.213792294</x:v>
      </x:c>
      <x:c r="X8" s="78" t="n">
        <x:f>X5-X6-X7</x:f>
        <x:v>5871793.995861019</x:v>
      </x:c>
      <x:c r="Y8" s="78" t="n">
        <x:f>Y5-Y6-Y7</x:f>
        <x:v>6305859.280109054</x:v>
      </x:c>
      <x:c r="Z8" s="78" t="n">
        <x:f>Z5-Z6-Z7</x:f>
        <x:v>8482264.269202396</x:v>
      </x:c>
      <x:c r="AA8" s="78" t="n">
        <x:f>AA5-AA6-AA7</x:f>
        <x:v>8905291.654293898</x:v>
      </x:c>
      <x:c r="AB8" s="78" t="n">
        <x:f>AB5-AB6-AB7</x:f>
        <x:v>9670588.765534483</x:v>
      </x:c>
      <x:c r="AC8" s="78" t="n">
        <x:f>AC5-AC6-AC7</x:f>
        <x:v>10502136.423394471</x:v>
      </x:c>
      <x:c r="AD8" s="78" t="n">
        <x:f>AD5-AD6-AD7</x:f>
        <x:v>11252204.122121368</x:v>
      </x:c>
      <x:c r="AE8" s="78" t="n">
        <x:f>AE5-AE6-AE7</x:f>
        <x:v>11994771.143860996</x:v>
      </x:c>
      <x:c r="AF8" s="78" t="n">
        <x:f>AF5-AF6-AF7</x:f>
        <x:v>12797903.731696494</x:v>
      </x:c>
      <x:c r="AG8" s="78" t="n">
        <x:f>AG5-AG6-AG7</x:f>
        <x:v>13525693.669703506</x:v>
      </x:c>
      <x:c r="AH8" s="78" t="n">
        <x:f>AH5-AH6-AH7</x:f>
        <x:v>14246205.708330447</x:v>
      </x:c>
      <x:c r="AI8" s="78" t="n">
        <x:f>AI5-AI6-AI7</x:f>
        <x:v>15022064.563979317</x:v>
      </x:c>
      <x:c r="AJ8" s="78" t="n">
        <x:f>AJ5-AJ6-AJ7</x:f>
        <x:v>15711297.779117385</x:v>
      </x:c>
      <x:c r="AK8" s="78" t="n">
        <x:f>AK5-AK6-AK7</x:f>
        <x:v>16383861.32852427</x:v>
      </x:c>
    </x:row>
    <x:row r="9">
      <x:c r="A9" s="85" t="str">
        <x:v>Инвестиции / финансирование</x:v>
      </x:c>
      <x:c r="B9" s="78" t="n">
        <x:f>'Допущения'!$K$15+'Налоги и господдержка'!J$86</x:f>
        <x:v>15000000</x:v>
      </x:c>
      <x:c r="C9" s="78" t="n">
        <x:f>'Налоги и господдержка'!K$86</x:f>
        <x:v>0</x:v>
      </x:c>
      <x:c r="D9" s="78" t="n">
        <x:f>'Налоги и господдержка'!L$86</x:f>
        <x:v>0</x:v>
      </x:c>
      <x:c r="E9" s="78" t="n">
        <x:f>'Налоги и господдержка'!M$86</x:f>
        <x:v>0</x:v>
      </x:c>
      <x:c r="F9" s="78" t="n">
        <x:f>'Налоги и господдержка'!N$86</x:f>
        <x:v>0</x:v>
      </x:c>
      <x:c r="G9" s="78" t="n">
        <x:f>'Налоги и господдержка'!O$86</x:f>
        <x:v>0</x:v>
      </x:c>
      <x:c r="H9" s="78" t="n">
        <x:f>'Налоги и господдержка'!P$86</x:f>
        <x:v>0</x:v>
      </x:c>
      <x:c r="I9" s="78" t="n">
        <x:f>'Налоги и господдержка'!Q$86</x:f>
        <x:v>0</x:v>
      </x:c>
      <x:c r="J9" s="78" t="n">
        <x:f>'Налоги и господдержка'!R$86</x:f>
        <x:v>0</x:v>
      </x:c>
      <x:c r="K9" s="78" t="n">
        <x:f>'Налоги и господдержка'!S$86</x:f>
        <x:v>0</x:v>
      </x:c>
      <x:c r="L9" s="78" t="n">
        <x:f>'Налоги и господдержка'!T$86</x:f>
        <x:v>0</x:v>
      </x:c>
      <x:c r="M9" s="78" t="n">
        <x:f>'Налоги и господдержка'!U$86</x:f>
        <x:v>0</x:v>
      </x:c>
      <x:c r="N9" s="78" t="n">
        <x:f>'Налоги и господдержка'!V$86</x:f>
        <x:v>0</x:v>
      </x:c>
      <x:c r="O9" s="78" t="n">
        <x:f>'Налоги и господдержка'!W$86</x:f>
        <x:v>0</x:v>
      </x:c>
      <x:c r="P9" s="78" t="n">
        <x:f>'Налоги и господдержка'!X$86</x:f>
        <x:v>0</x:v>
      </x:c>
      <x:c r="Q9" s="78" t="n">
        <x:f>'Налоги и господдержка'!Y$86</x:f>
        <x:v>0</x:v>
      </x:c>
      <x:c r="R9" s="78" t="n">
        <x:f>'Налоги и господдержка'!Z$86</x:f>
        <x:v>0</x:v>
      </x:c>
      <x:c r="S9" s="78" t="n">
        <x:f>'Налоги и господдержка'!AA$86</x:f>
        <x:v>0</x:v>
      </x:c>
      <x:c r="T9" s="78" t="n">
        <x:f>'Налоги и господдержка'!AB$86</x:f>
        <x:v>0</x:v>
      </x:c>
      <x:c r="U9" s="78" t="n">
        <x:f>'Налоги и господдержка'!AC$86</x:f>
        <x:v>0</x:v>
      </x:c>
      <x:c r="V9" s="78" t="n">
        <x:f>'Налоги и господдержка'!AD$86</x:f>
        <x:v>0</x:v>
      </x:c>
      <x:c r="W9" s="78" t="n">
        <x:f>'Налоги и господдержка'!AE$86</x:f>
        <x:v>0</x:v>
      </x:c>
      <x:c r="X9" s="78" t="n">
        <x:f>'Налоги и господдержка'!AF$86</x:f>
        <x:v>0</x:v>
      </x:c>
      <x:c r="Y9" s="78" t="n">
        <x:f>'Налоги и господдержка'!AG$86</x:f>
        <x:v>0</x:v>
      </x:c>
      <x:c r="Z9" s="78" t="n">
        <x:f>'Налоги и господдержка'!AH$86</x:f>
        <x:v>0</x:v>
      </x:c>
      <x:c r="AA9" s="78" t="n">
        <x:f>'Налоги и господдержка'!AI$86</x:f>
        <x:v>0</x:v>
      </x:c>
      <x:c r="AB9" s="78" t="n">
        <x:f>'Налоги и господдержка'!AJ$86</x:f>
        <x:v>0</x:v>
      </x:c>
      <x:c r="AC9" s="78" t="n">
        <x:f>'Налоги и господдержка'!AK$86</x:f>
        <x:v>0</x:v>
      </x:c>
      <x:c r="AD9" s="78" t="n">
        <x:f>'Налоги и господдержка'!AL$86</x:f>
        <x:v>0</x:v>
      </x:c>
      <x:c r="AE9" s="78" t="n">
        <x:f>'Налоги и господдержка'!AM$86</x:f>
        <x:v>0</x:v>
      </x:c>
      <x:c r="AF9" s="78" t="n">
        <x:f>'Налоги и господдержка'!AN$86</x:f>
        <x:v>0</x:v>
      </x:c>
      <x:c r="AG9" s="78" t="n">
        <x:f>'Налоги и господдержка'!AO$86</x:f>
        <x:v>0</x:v>
      </x:c>
      <x:c r="AH9" s="78" t="n">
        <x:f>'Налоги и господдержка'!AP$86</x:f>
        <x:v>0</x:v>
      </x:c>
      <x:c r="AI9" s="78" t="n">
        <x:f>'Налоги и господдержка'!AQ$86</x:f>
        <x:v>0</x:v>
      </x:c>
      <x:c r="AJ9" s="78" t="n">
        <x:f>'Налоги и господдержка'!AR$86</x:f>
        <x:v>0</x:v>
      </x:c>
      <x:c r="AK9" s="78" t="n">
        <x:f>'Налоги и господдержка'!AS$86</x:f>
        <x:v>0</x:v>
      </x:c>
    </x:row>
    <x:row r="10">
      <x:c r="A10" s="85" t="str">
        <x:v>Изменение денежных средств</x:v>
      </x:c>
      <x:c r="B10" s="78" t="n">
        <x:f>B8+B9</x:f>
        <x:v>12215648.102803739</x:v>
      </x:c>
      <x:c r="C10" s="78" t="n">
        <x:f>C8+C9</x:f>
        <x:v>-2182801.897196261</x:v>
      </x:c>
      <x:c r="D10" s="78" t="n">
        <x:f>D8+D9</x:f>
        <x:v>-1923839.8971962612</x:v>
      </x:c>
      <x:c r="E10" s="78" t="n">
        <x:f>E8+E9</x:f>
        <x:v>-1750704.947102803</x:v>
      </x:c>
      <x:c r="F10" s="78" t="n">
        <x:f>F8+F9</x:f>
        <x:v>-1409996.290902802</x:v>
      </x:c>
      <x:c r="G10" s="78" t="n">
        <x:f>G8+G9</x:f>
        <x:v>-1072694.7212648026</x:v>
      </x:c>
      <x:c r="H10" s="78" t="n">
        <x:f>H8+H9</x:f>
        <x:v>-931268.5131175759</x:v>
      </x:c>
      <x:c r="I10" s="78" t="n">
        <x:f>I8+I9</x:f>
        <x:v>-763779.2447153721</x:v>
      </x:c>
      <x:c r="J10" s="78" t="n">
        <x:f>J8+J9</x:f>
        <x:v>-350464.8689971914</x:v>
      </x:c>
      <x:c r="K10" s="78" t="n">
        <x:f>K8+K9</x:f>
        <x:v>-198930.26694273346</x:v>
      </x:c>
      <x:c r="L10" s="78" t="n">
        <x:f>L8+L9</x:f>
        <x:v>206159.15269865716</x:v>
      </x:c>
      <x:c r="M10" s="78" t="n">
        <x:f>M8+M9</x:f>
        <x:v>607197.6781436321</x:v>
      </x:c>
      <x:c r="N10" s="78" t="n">
        <x:f>N8+N9</x:f>
        <x:v>1361306.4743378984</x:v>
      </x:c>
      <x:c r="O10" s="78" t="n">
        <x:f>O8+O9</x:f>
        <x:v>1841264.3331265189</x:v>
      </x:c>
      <x:c r="P10" s="78" t="n">
        <x:f>P8+P9</x:f>
        <x:v>2066422.613327256</x:v>
      </x:c>
      <x:c r="Q10" s="78" t="n">
        <x:f>Q8+Q9</x:f>
        <x:v>2598725.6624699817</x:v>
      </x:c>
      <x:c r="R10" s="78" t="n">
        <x:f>R8+R9</x:f>
        <x:v>3064428.2928947224</x:v>
      </x:c>
      <x:c r="S10" s="78" t="n">
        <x:f>S8+S9</x:f>
        <x:v>3525473.8970152168</x:v>
      </x:c>
      <x:c r="T10" s="78" t="n">
        <x:f>T8+T9</x:f>
        <x:v>4038853.688698985</x:v>
      </x:c>
      <x:c r="U10" s="78" t="n">
        <x:f>U8+U9</x:f>
        <x:v>4490724.485297479</x:v>
      </x:c>
      <x:c r="V10" s="78" t="n">
        <x:f>V8+V9</x:f>
        <x:v>4938076.573929988</x:v>
      </x:c>
      <x:c r="W10" s="78" t="n">
        <x:f>W8+W9</x:f>
        <x:v>5433344.213792294</x:v>
      </x:c>
      <x:c r="X10" s="78" t="n">
        <x:f>X8+X9</x:f>
        <x:v>5871793.995861019</x:v>
      </x:c>
      <x:c r="Y10" s="78" t="n">
        <x:f>Y8+Y9</x:f>
        <x:v>6305859.280109054</x:v>
      </x:c>
      <x:c r="Z10" s="78" t="n">
        <x:f>Z8+Z9</x:f>
        <x:v>8482264.269202396</x:v>
      </x:c>
      <x:c r="AA10" s="78" t="n">
        <x:f>AA8+AA9</x:f>
        <x:v>8905291.654293898</x:v>
      </x:c>
      <x:c r="AB10" s="78" t="n">
        <x:f>AB8+AB9</x:f>
        <x:v>9670588.765534483</x:v>
      </x:c>
      <x:c r="AC10" s="78" t="n">
        <x:f>AC8+AC9</x:f>
        <x:v>10502136.423394471</x:v>
      </x:c>
      <x:c r="AD10" s="78" t="n">
        <x:f>AD8+AD9</x:f>
        <x:v>11252204.122121368</x:v>
      </x:c>
      <x:c r="AE10" s="78" t="n">
        <x:f>AE8+AE9</x:f>
        <x:v>11994771.143860996</x:v>
      </x:c>
      <x:c r="AF10" s="78" t="n">
        <x:f>AF8+AF9</x:f>
        <x:v>12797903.731696494</x:v>
      </x:c>
      <x:c r="AG10" s="78" t="n">
        <x:f>AG8+AG9</x:f>
        <x:v>13525693.669703506</x:v>
      </x:c>
      <x:c r="AH10" s="78" t="n">
        <x:f>AH8+AH9</x:f>
        <x:v>14246205.708330447</x:v>
      </x:c>
      <x:c r="AI10" s="78" t="n">
        <x:f>AI8+AI9</x:f>
        <x:v>15022064.563979317</x:v>
      </x:c>
      <x:c r="AJ10" s="78" t="n">
        <x:f>AJ8+AJ9</x:f>
        <x:v>15711297.779117385</x:v>
      </x:c>
      <x:c r="AK10" s="78" t="n">
        <x:f>AK8+AK9</x:f>
        <x:v>16383861.32852427</x:v>
      </x:c>
    </x:row>
    <x:row r="11">
      <x:c r="A11" s="87" t="str">
        <x:v>Денежные средства на конец периода</x:v>
      </x:c>
      <x:c r="B11" s="79" t="n">
        <x:f>B4+B10</x:f>
        <x:v>12215648.102803739</x:v>
      </x:c>
      <x:c r="C11" s="79" t="n">
        <x:f>C4+C10</x:f>
        <x:v>10032846.205607478</x:v>
      </x:c>
      <x:c r="D11" s="79" t="n">
        <x:f>D4+D10</x:f>
        <x:v>8109006.308411216</x:v>
      </x:c>
      <x:c r="E11" s="79" t="n">
        <x:f>E4+E10</x:f>
        <x:v>6358301.361308414</x:v>
      </x:c>
      <x:c r="F11" s="79" t="n">
        <x:f>F4+F10</x:f>
        <x:v>4948305.070405612</x:v>
      </x:c>
      <x:c r="G11" s="79" t="n">
        <x:f>G4+G10</x:f>
        <x:v>3875610.349140809</x:v>
      </x:c>
      <x:c r="H11" s="79" t="n">
        <x:f>H4+H10</x:f>
        <x:v>2944341.836023233</x:v>
      </x:c>
      <x:c r="I11" s="79" t="n">
        <x:f>I4+I10</x:f>
        <x:v>2180562.591307861</x:v>
      </x:c>
      <x:c r="J11" s="79" t="n">
        <x:f>J4+J10</x:f>
        <x:v>1830097.7223106693</x:v>
      </x:c>
      <x:c r="K11" s="79" t="n">
        <x:f>K4+K10</x:f>
        <x:v>1631167.4553679358</x:v>
      </x:c>
      <x:c r="L11" s="79" t="n">
        <x:f>L4+L10</x:f>
        <x:v>1837326.608066593</x:v>
      </x:c>
      <x:c r="M11" s="79" t="n">
        <x:f>M4+M10</x:f>
        <x:v>2444524.286210225</x:v>
      </x:c>
      <x:c r="N11" s="79" t="n">
        <x:f>N4+N10</x:f>
        <x:v>3805830.760548123</x:v>
      </x:c>
      <x:c r="O11" s="79" t="n">
        <x:f>O4+O10</x:f>
        <x:v>5647095.093674642</x:v>
      </x:c>
      <x:c r="P11" s="79" t="n">
        <x:f>P4+P10</x:f>
        <x:v>7713517.707001898</x:v>
      </x:c>
      <x:c r="Q11" s="79" t="n">
        <x:f>Q4+Q10</x:f>
        <x:v>10312243.36947188</x:v>
      </x:c>
      <x:c r="R11" s="79" t="n">
        <x:f>R4+R10</x:f>
        <x:v>13376671.662366603</x:v>
      </x:c>
      <x:c r="S11" s="79" t="n">
        <x:f>S4+S10</x:f>
        <x:v>16902145.55938182</x:v>
      </x:c>
      <x:c r="T11" s="79" t="n">
        <x:f>T4+T10</x:f>
        <x:v>20940999.248080805</x:v>
      </x:c>
      <x:c r="U11" s="79" t="n">
        <x:f>U4+U10</x:f>
        <x:v>25431723.733378284</x:v>
      </x:c>
      <x:c r="V11" s="79" t="n">
        <x:f>V4+V10</x:f>
        <x:v>30369800.30730827</x:v>
      </x:c>
      <x:c r="W11" s="79" t="n">
        <x:f>W4+W10</x:f>
        <x:v>35803144.521100566</x:v>
      </x:c>
      <x:c r="X11" s="79" t="n">
        <x:f>X4+X10</x:f>
        <x:v>41674938.51696158</x:v>
      </x:c>
      <x:c r="Y11" s="79" t="n">
        <x:f>Y4+Y10</x:f>
        <x:v>47980797.79707064</x:v>
      </x:c>
      <x:c r="Z11" s="79" t="n">
        <x:f>Z4+Z10</x:f>
        <x:v>56463062.06627303</x:v>
      </x:c>
      <x:c r="AA11" s="79" t="n">
        <x:f>AA4+AA10</x:f>
        <x:v>65368353.72056693</x:v>
      </x:c>
      <x:c r="AB11" s="79" t="n">
        <x:f>AB4+AB10</x:f>
        <x:v>75038942.48610142</x:v>
      </x:c>
      <x:c r="AC11" s="79" t="n">
        <x:f>AC4+AC10</x:f>
        <x:v>85541078.90949589</x:v>
      </x:c>
      <x:c r="AD11" s="79" t="n">
        <x:f>AD4+AD10</x:f>
        <x:v>96793283.03161725</x:v>
      </x:c>
      <x:c r="AE11" s="79" t="n">
        <x:f>AE4+AE10</x:f>
        <x:v>108788054.17547825</x:v>
      </x:c>
      <x:c r="AF11" s="79" t="n">
        <x:f>AF4+AF10</x:f>
        <x:v>121585957.90717474</x:v>
      </x:c>
      <x:c r="AG11" s="79" t="n">
        <x:f>AG4+AG10</x:f>
        <x:v>135111651.57687825</x:v>
      </x:c>
      <x:c r="AH11" s="79" t="n">
        <x:f>AH4+AH10</x:f>
        <x:v>149357857.2852087</x:v>
      </x:c>
      <x:c r="AI11" s="79" t="n">
        <x:f>AI4+AI10</x:f>
        <x:v>164379921.84918803</x:v>
      </x:c>
      <x:c r="AJ11" s="79" t="n">
        <x:f>AJ4+AJ10</x:f>
        <x:v>180091219.6283054</x:v>
      </x:c>
      <x:c r="AK11" s="79" t="n">
        <x:f>AK4+AK10</x:f>
        <x:v>196475080.95682967</x:v>
      </x:c>
    </x:row>
    <x:row r="12">
      <x:c r="A12" s="85" t="str"/>
      <x:c r="B12" s="80"/>
      <x:c r="C12" s="80"/>
      <x:c r="D12" s="80"/>
      <x:c r="E12" s="80"/>
      <x:c r="F12" s="80"/>
      <x:c r="G12" s="80"/>
      <x:c r="H12" s="80"/>
      <x:c r="I12" s="80"/>
      <x:c r="J12" s="80"/>
      <x:c r="K12" s="80"/>
      <x:c r="L12" s="80"/>
      <x:c r="M12" s="80"/>
      <x:c r="N12" s="80"/>
      <x:c r="O12" s="80"/>
      <x:c r="P12" s="80"/>
      <x:c r="Q12" s="80"/>
      <x:c r="R12" s="80"/>
      <x:c r="S12" s="80"/>
      <x:c r="T12" s="80"/>
      <x:c r="U12" s="80"/>
      <x:c r="V12" s="80"/>
      <x:c r="W12" s="80"/>
      <x:c r="X12" s="80"/>
      <x:c r="Y12" s="80"/>
      <x:c r="Z12" s="80"/>
      <x:c r="AA12" s="80"/>
      <x:c r="AB12" s="80"/>
      <x:c r="AC12" s="80"/>
      <x:c r="AD12" s="80"/>
      <x:c r="AE12" s="80"/>
      <x:c r="AF12" s="80"/>
      <x:c r="AG12" s="80"/>
      <x:c r="AH12" s="80"/>
      <x:c r="AI12" s="80"/>
      <x:c r="AJ12" s="80"/>
      <x:c r="AK12" s="80"/>
    </x:row>
    <x:row r="13">
      <x:c r="A13" s="85" t="str">
        <x:v>Темп расходования денежных средств</x:v>
      </x:c>
      <x:c r="B13" s="78" t="n">
        <x:f>MAX(0,-B8)</x:f>
        <x:v>2784351.897196261</x:v>
      </x:c>
      <x:c r="C13" s="78" t="n">
        <x:f>MAX(0,-C8)</x:f>
        <x:v>2182801.897196261</x:v>
      </x:c>
      <x:c r="D13" s="78" t="n">
        <x:f>MAX(0,-D8)</x:f>
        <x:v>1923839.8971962612</x:v>
      </x:c>
      <x:c r="E13" s="78" t="n">
        <x:f>MAX(0,-E8)</x:f>
        <x:v>1750704.947102803</x:v>
      </x:c>
      <x:c r="F13" s="78" t="n">
        <x:f>MAX(0,-F8)</x:f>
        <x:v>1409996.290902802</x:v>
      </x:c>
      <x:c r="G13" s="78" t="n">
        <x:f>MAX(0,-G8)</x:f>
        <x:v>1072694.7212648026</x:v>
      </x:c>
      <x:c r="H13" s="78" t="n">
        <x:f>MAX(0,-H8)</x:f>
        <x:v>931268.5131175759</x:v>
      </x:c>
      <x:c r="I13" s="78" t="n">
        <x:f>MAX(0,-I8)</x:f>
        <x:v>763779.2447153721</x:v>
      </x:c>
      <x:c r="J13" s="78" t="n">
        <x:f>MAX(0,-J8)</x:f>
        <x:v>350464.8689971914</x:v>
      </x:c>
      <x:c r="K13" s="78" t="n">
        <x:f>MAX(0,-K8)</x:f>
        <x:v>198930.26694273346</x:v>
      </x:c>
      <x:c r="L13" s="78" t="n">
        <x:f>MAX(0,-L8)</x:f>
        <x:v>0</x:v>
      </x:c>
      <x:c r="M13" s="78" t="n">
        <x:f>MAX(0,-M8)</x:f>
        <x:v>0</x:v>
      </x:c>
      <x:c r="N13" s="78" t="n">
        <x:f>MAX(0,-N8)</x:f>
        <x:v>0</x:v>
      </x:c>
      <x:c r="O13" s="78" t="n">
        <x:f>MAX(0,-O8)</x:f>
        <x:v>0</x:v>
      </x:c>
      <x:c r="P13" s="78" t="n">
        <x:f>MAX(0,-P8)</x:f>
        <x:v>0</x:v>
      </x:c>
      <x:c r="Q13" s="78" t="n">
        <x:f>MAX(0,-Q8)</x:f>
        <x:v>0</x:v>
      </x:c>
      <x:c r="R13" s="78" t="n">
        <x:f>MAX(0,-R8)</x:f>
        <x:v>0</x:v>
      </x:c>
      <x:c r="S13" s="78" t="n">
        <x:f>MAX(0,-S8)</x:f>
        <x:v>0</x:v>
      </x:c>
      <x:c r="T13" s="78" t="n">
        <x:f>MAX(0,-T8)</x:f>
        <x:v>0</x:v>
      </x:c>
      <x:c r="U13" s="78" t="n">
        <x:f>MAX(0,-U8)</x:f>
        <x:v>0</x:v>
      </x:c>
      <x:c r="V13" s="78" t="n">
        <x:f>MAX(0,-V8)</x:f>
        <x:v>0</x:v>
      </x:c>
      <x:c r="W13" s="78" t="n">
        <x:f>MAX(0,-W8)</x:f>
        <x:v>0</x:v>
      </x:c>
      <x:c r="X13" s="78" t="n">
        <x:f>MAX(0,-X8)</x:f>
        <x:v>0</x:v>
      </x:c>
      <x:c r="Y13" s="78" t="n">
        <x:f>MAX(0,-Y8)</x:f>
        <x:v>0</x:v>
      </x:c>
      <x:c r="Z13" s="78" t="n">
        <x:f>MAX(0,-Z8)</x:f>
        <x:v>0</x:v>
      </x:c>
      <x:c r="AA13" s="78" t="n">
        <x:f>MAX(0,-AA8)</x:f>
        <x:v>0</x:v>
      </x:c>
      <x:c r="AB13" s="78" t="n">
        <x:f>MAX(0,-AB8)</x:f>
        <x:v>0</x:v>
      </x:c>
      <x:c r="AC13" s="78" t="n">
        <x:f>MAX(0,-AC8)</x:f>
        <x:v>0</x:v>
      </x:c>
      <x:c r="AD13" s="78" t="n">
        <x:f>MAX(0,-AD8)</x:f>
        <x:v>0</x:v>
      </x:c>
      <x:c r="AE13" s="78" t="n">
        <x:f>MAX(0,-AE8)</x:f>
        <x:v>0</x:v>
      </x:c>
      <x:c r="AF13" s="78" t="n">
        <x:f>MAX(0,-AF8)</x:f>
        <x:v>0</x:v>
      </x:c>
      <x:c r="AG13" s="78" t="n">
        <x:f>MAX(0,-AG8)</x:f>
        <x:v>0</x:v>
      </x:c>
      <x:c r="AH13" s="78" t="n">
        <x:f>MAX(0,-AH8)</x:f>
        <x:v>0</x:v>
      </x:c>
      <x:c r="AI13" s="78" t="n">
        <x:f>MAX(0,-AI8)</x:f>
        <x:v>0</x:v>
      </x:c>
      <x:c r="AJ13" s="78" t="n">
        <x:f>MAX(0,-AJ8)</x:f>
        <x:v>0</x:v>
      </x:c>
      <x:c r="AK13" s="78" t="n">
        <x:f>MAX(0,-AK8)</x:f>
        <x:v>0</x:v>
      </x:c>
    </x:row>
    <x:row r="14">
      <x:c r="A14" s="85" t="str">
        <x:v>Средний темп расходования денежных средств за 3 месяца</x:v>
      </x:c>
      <x:c r="B14" s="78" t="n">
        <x:f>B13</x:f>
        <x:v>2784351.897196261</x:v>
      </x:c>
      <x:c r="C14" s="78" t="n">
        <x:f>AVERAGE(B13:C13)</x:f>
        <x:v>2483576.897196261</x:v>
      </x:c>
      <x:c r="D14" s="78" t="n">
        <x:f>AVERAGE(B13:D13)</x:f>
        <x:v>2296997.897196261</x:v>
      </x:c>
      <x:c r="E14" s="78" t="n">
        <x:f>AVERAGE(C13:E13)</x:f>
        <x:v>1952448.913831775</x:v>
      </x:c>
      <x:c r="F14" s="78" t="n">
        <x:f>AVERAGE(D13:F13)</x:f>
        <x:v>1694847.0450672887</x:v>
      </x:c>
      <x:c r="G14" s="78" t="n">
        <x:f>AVERAGE(E13:G13)</x:f>
        <x:v>1411131.9864234691</x:v>
      </x:c>
      <x:c r="H14" s="78" t="n">
        <x:f>AVERAGE(F13:H13)</x:f>
        <x:v>1137986.5084283936</x:v>
      </x:c>
      <x:c r="I14" s="78" t="n">
        <x:f>AVERAGE(G13:I13)</x:f>
        <x:v>922580.8263659169</x:v>
      </x:c>
      <x:c r="J14" s="78" t="n">
        <x:f>AVERAGE(H13:J13)</x:f>
        <x:v>681837.5422767132</x:v>
      </x:c>
      <x:c r="K14" s="78" t="n">
        <x:f>AVERAGE(I13:K13)</x:f>
        <x:v>437724.7935517657</x:v>
      </x:c>
      <x:c r="L14" s="78" t="n">
        <x:f>AVERAGE(J13:L13)</x:f>
        <x:v>183131.71197997496</x:v>
      </x:c>
      <x:c r="M14" s="78" t="n">
        <x:f>AVERAGE(K13:M13)</x:f>
        <x:v>66310.08898091115</x:v>
      </x:c>
      <x:c r="N14" s="78" t="n">
        <x:f>AVERAGE(L13:N13)</x:f>
        <x:v>0</x:v>
      </x:c>
      <x:c r="O14" s="78" t="n">
        <x:f>AVERAGE(M13:O13)</x:f>
        <x:v>0</x:v>
      </x:c>
      <x:c r="P14" s="78" t="n">
        <x:f>AVERAGE(N13:P13)</x:f>
        <x:v>0</x:v>
      </x:c>
      <x:c r="Q14" s="78" t="n">
        <x:f>AVERAGE(O13:Q13)</x:f>
        <x:v>0</x:v>
      </x:c>
      <x:c r="R14" s="78" t="n">
        <x:f>AVERAGE(P13:R13)</x:f>
        <x:v>0</x:v>
      </x:c>
      <x:c r="S14" s="78" t="n">
        <x:f>AVERAGE(Q13:S13)</x:f>
        <x:v>0</x:v>
      </x:c>
      <x:c r="T14" s="78" t="n">
        <x:f>AVERAGE(R13:T13)</x:f>
        <x:v>0</x:v>
      </x:c>
      <x:c r="U14" s="78" t="n">
        <x:f>AVERAGE(S13:U13)</x:f>
        <x:v>0</x:v>
      </x:c>
      <x:c r="V14" s="78" t="n">
        <x:f>AVERAGE(T13:V13)</x:f>
        <x:v>0</x:v>
      </x:c>
      <x:c r="W14" s="78" t="n">
        <x:f>AVERAGE(U13:W13)</x:f>
        <x:v>0</x:v>
      </x:c>
      <x:c r="X14" s="78" t="n">
        <x:f>AVERAGE(V13:X13)</x:f>
        <x:v>0</x:v>
      </x:c>
      <x:c r="Y14" s="78" t="n">
        <x:f>AVERAGE(W13:Y13)</x:f>
        <x:v>0</x:v>
      </x:c>
      <x:c r="Z14" s="78" t="n">
        <x:f>AVERAGE(X13:Z13)</x:f>
        <x:v>0</x:v>
      </x:c>
      <x:c r="AA14" s="78" t="n">
        <x:f>AVERAGE(Y13:AA13)</x:f>
        <x:v>0</x:v>
      </x:c>
      <x:c r="AB14" s="78" t="n">
        <x:f>AVERAGE(Z13:AB13)</x:f>
        <x:v>0</x:v>
      </x:c>
      <x:c r="AC14" s="78" t="n">
        <x:f>AVERAGE(AA13:AC13)</x:f>
        <x:v>0</x:v>
      </x:c>
      <x:c r="AD14" s="78" t="n">
        <x:f>AVERAGE(AB13:AD13)</x:f>
        <x:v>0</x:v>
      </x:c>
      <x:c r="AE14" s="78" t="n">
        <x:f>AVERAGE(AC13:AE13)</x:f>
        <x:v>0</x:v>
      </x:c>
      <x:c r="AF14" s="78" t="n">
        <x:f>AVERAGE(AD13:AF13)</x:f>
        <x:v>0</x:v>
      </x:c>
      <x:c r="AG14" s="78" t="n">
        <x:f>AVERAGE(AE13:AG13)</x:f>
        <x:v>0</x:v>
      </x:c>
      <x:c r="AH14" s="78" t="n">
        <x:f>AVERAGE(AF13:AH13)</x:f>
        <x:v>0</x:v>
      </x:c>
      <x:c r="AI14" s="78" t="n">
        <x:f>AVERAGE(AG13:AI13)</x:f>
        <x:v>0</x:v>
      </x:c>
      <x:c r="AJ14" s="78" t="n">
        <x:f>AVERAGE(AH13:AJ13)</x:f>
        <x:v>0</x:v>
      </x:c>
      <x:c r="AK14" s="78" t="n">
        <x:f>AVERAGE(AI13:AK13)</x:f>
        <x:v>0</x:v>
      </x:c>
    </x:row>
    <x:row r="15">
      <x:c r="A15" s="85" t="str">
        <x:v>Минимальный резерв</x:v>
      </x:c>
      <x:c r="B15" s="78" t="n">
        <x:f>'Допущения'!$K$26</x:f>
        <x:v>2800000</x:v>
      </x:c>
      <x:c r="C15" s="78" t="n">
        <x:f>'Допущения'!$K$26</x:f>
        <x:v>2800000</x:v>
      </x:c>
      <x:c r="D15" s="78" t="n">
        <x:f>'Допущения'!$K$26</x:f>
        <x:v>2800000</x:v>
      </x:c>
      <x:c r="E15" s="78" t="n">
        <x:f>'Допущения'!$K$26</x:f>
        <x:v>2800000</x:v>
      </x:c>
      <x:c r="F15" s="78" t="n">
        <x:f>'Допущения'!$K$26</x:f>
        <x:v>2800000</x:v>
      </x:c>
      <x:c r="G15" s="78" t="n">
        <x:f>'Допущения'!$K$26</x:f>
        <x:v>2800000</x:v>
      </x:c>
      <x:c r="H15" s="78" t="n">
        <x:f>'Допущения'!$K$26</x:f>
        <x:v>2800000</x:v>
      </x:c>
      <x:c r="I15" s="78" t="n">
        <x:f>'Допущения'!$K$26</x:f>
        <x:v>2800000</x:v>
      </x:c>
      <x:c r="J15" s="78" t="n">
        <x:f>'Допущения'!$K$26</x:f>
        <x:v>2800000</x:v>
      </x:c>
      <x:c r="K15" s="78" t="n">
        <x:f>'Допущения'!$K$26</x:f>
        <x:v>2800000</x:v>
      </x:c>
      <x:c r="L15" s="78" t="n">
        <x:f>'Допущения'!$K$26</x:f>
        <x:v>2800000</x:v>
      </x:c>
      <x:c r="M15" s="78" t="n">
        <x:f>'Допущения'!$K$26</x:f>
        <x:v>2800000</x:v>
      </x:c>
      <x:c r="N15" s="78" t="n">
        <x:f>'Допущения'!$K$26</x:f>
        <x:v>2800000</x:v>
      </x:c>
      <x:c r="O15" s="78" t="n">
        <x:f>'Допущения'!$K$26</x:f>
        <x:v>2800000</x:v>
      </x:c>
      <x:c r="P15" s="78" t="n">
        <x:f>'Допущения'!$K$26</x:f>
        <x:v>2800000</x:v>
      </x:c>
      <x:c r="Q15" s="78" t="n">
        <x:f>'Допущения'!$K$26</x:f>
        <x:v>2800000</x:v>
      </x:c>
      <x:c r="R15" s="78" t="n">
        <x:f>'Допущения'!$K$26</x:f>
        <x:v>2800000</x:v>
      </x:c>
      <x:c r="S15" s="78" t="n">
        <x:f>'Допущения'!$K$26</x:f>
        <x:v>2800000</x:v>
      </x:c>
      <x:c r="T15" s="78" t="n">
        <x:f>'Допущения'!$K$26</x:f>
        <x:v>2800000</x:v>
      </x:c>
      <x:c r="U15" s="78" t="n">
        <x:f>'Допущения'!$K$26</x:f>
        <x:v>2800000</x:v>
      </x:c>
      <x:c r="V15" s="78" t="n">
        <x:f>'Допущения'!$K$26</x:f>
        <x:v>2800000</x:v>
      </x:c>
      <x:c r="W15" s="78" t="n">
        <x:f>'Допущения'!$K$26</x:f>
        <x:v>2800000</x:v>
      </x:c>
      <x:c r="X15" s="78" t="n">
        <x:f>'Допущения'!$K$26</x:f>
        <x:v>2800000</x:v>
      </x:c>
      <x:c r="Y15" s="78" t="n">
        <x:f>'Допущения'!$K$26</x:f>
        <x:v>2800000</x:v>
      </x:c>
      <x:c r="Z15" s="78" t="n">
        <x:f>'Допущения'!$K$26</x:f>
        <x:v>2800000</x:v>
      </x:c>
      <x:c r="AA15" s="78" t="n">
        <x:f>'Допущения'!$K$26</x:f>
        <x:v>2800000</x:v>
      </x:c>
      <x:c r="AB15" s="78" t="n">
        <x:f>'Допущения'!$K$26</x:f>
        <x:v>2800000</x:v>
      </x:c>
      <x:c r="AC15" s="78" t="n">
        <x:f>'Допущения'!$K$26</x:f>
        <x:v>2800000</x:v>
      </x:c>
      <x:c r="AD15" s="78" t="n">
        <x:f>'Допущения'!$K$26</x:f>
        <x:v>2800000</x:v>
      </x:c>
      <x:c r="AE15" s="78" t="n">
        <x:f>'Допущения'!$K$26</x:f>
        <x:v>2800000</x:v>
      </x:c>
      <x:c r="AF15" s="78" t="n">
        <x:f>'Допущения'!$K$26</x:f>
        <x:v>2800000</x:v>
      </x:c>
      <x:c r="AG15" s="78" t="n">
        <x:f>'Допущения'!$K$26</x:f>
        <x:v>2800000</x:v>
      </x:c>
      <x:c r="AH15" s="78" t="n">
        <x:f>'Допущения'!$K$26</x:f>
        <x:v>2800000</x:v>
      </x:c>
      <x:c r="AI15" s="78" t="n">
        <x:f>'Допущения'!$K$26</x:f>
        <x:v>2800000</x:v>
      </x:c>
      <x:c r="AJ15" s="78" t="n">
        <x:f>'Допущения'!$K$26</x:f>
        <x:v>2800000</x:v>
      </x:c>
      <x:c r="AK15" s="78" t="n">
        <x:f>'Допущения'!$K$26</x:f>
        <x:v>2800000</x:v>
      </x:c>
    </x:row>
    <x:row r="16">
      <x:c r="A16" s="85" t="str">
        <x:v>Флаг потребности в капитале</x:v>
      </x:c>
      <x:c r="B16" s="86" t="n">
        <x:f>IF(B11&lt;B15,1,0)</x:f>
        <x:v>0</x:v>
      </x:c>
      <x:c r="C16" s="86" t="n">
        <x:f>IF(C11&lt;C15,1,0)</x:f>
        <x:v>0</x:v>
      </x:c>
      <x:c r="D16" s="86" t="n">
        <x:f>IF(D11&lt;D15,1,0)</x:f>
        <x:v>0</x:v>
      </x:c>
      <x:c r="E16" s="86" t="n">
        <x:f>IF(E11&lt;E15,1,0)</x:f>
        <x:v>0</x:v>
      </x:c>
      <x:c r="F16" s="86" t="n">
        <x:f>IF(F11&lt;F15,1,0)</x:f>
        <x:v>0</x:v>
      </x:c>
      <x:c r="G16" s="86" t="n">
        <x:f>IF(G11&lt;G15,1,0)</x:f>
        <x:v>0</x:v>
      </x:c>
      <x:c r="H16" s="86" t="n">
        <x:f>IF(H11&lt;H15,1,0)</x:f>
        <x:v>0</x:v>
      </x:c>
      <x:c r="I16" s="86" t="n">
        <x:f>IF(I11&lt;I15,1,0)</x:f>
        <x:v>1</x:v>
      </x:c>
      <x:c r="J16" s="86" t="n">
        <x:f>IF(J11&lt;J15,1,0)</x:f>
        <x:v>1</x:v>
      </x:c>
      <x:c r="K16" s="86" t="n">
        <x:f>IF(K11&lt;K15,1,0)</x:f>
        <x:v>1</x:v>
      </x:c>
      <x:c r="L16" s="86" t="n">
        <x:f>IF(L11&lt;L15,1,0)</x:f>
        <x:v>1</x:v>
      </x:c>
      <x:c r="M16" s="86" t="n">
        <x:f>IF(M11&lt;M15,1,0)</x:f>
        <x:v>1</x:v>
      </x:c>
      <x:c r="N16" s="86" t="n">
        <x:f>IF(N11&lt;N15,1,0)</x:f>
        <x:v>0</x:v>
      </x:c>
      <x:c r="O16" s="86" t="n">
        <x:f>IF(O11&lt;O15,1,0)</x:f>
        <x:v>0</x:v>
      </x:c>
      <x:c r="P16" s="86" t="n">
        <x:f>IF(P11&lt;P15,1,0)</x:f>
        <x:v>0</x:v>
      </x:c>
      <x:c r="Q16" s="86" t="n">
        <x:f>IF(Q11&lt;Q15,1,0)</x:f>
        <x:v>0</x:v>
      </x:c>
      <x:c r="R16" s="86" t="n">
        <x:f>IF(R11&lt;R15,1,0)</x:f>
        <x:v>0</x:v>
      </x:c>
      <x:c r="S16" s="86" t="n">
        <x:f>IF(S11&lt;S15,1,0)</x:f>
        <x:v>0</x:v>
      </x:c>
      <x:c r="T16" s="86" t="n">
        <x:f>IF(T11&lt;T15,1,0)</x:f>
        <x:v>0</x:v>
      </x:c>
      <x:c r="U16" s="86" t="n">
        <x:f>IF(U11&lt;U15,1,0)</x:f>
        <x:v>0</x:v>
      </x:c>
      <x:c r="V16" s="86" t="n">
        <x:f>IF(V11&lt;V15,1,0)</x:f>
        <x:v>0</x:v>
      </x:c>
      <x:c r="W16" s="86" t="n">
        <x:f>IF(W11&lt;W15,1,0)</x:f>
        <x:v>0</x:v>
      </x:c>
      <x:c r="X16" s="86" t="n">
        <x:f>IF(X11&lt;X15,1,0)</x:f>
        <x:v>0</x:v>
      </x:c>
      <x:c r="Y16" s="86" t="n">
        <x:f>IF(Y11&lt;Y15,1,0)</x:f>
        <x:v>0</x:v>
      </x:c>
      <x:c r="Z16" s="86" t="n">
        <x:f>IF(Z11&lt;Z15,1,0)</x:f>
        <x:v>0</x:v>
      </x:c>
      <x:c r="AA16" s="86" t="n">
        <x:f>IF(AA11&lt;AA15,1,0)</x:f>
        <x:v>0</x:v>
      </x:c>
      <x:c r="AB16" s="86" t="n">
        <x:f>IF(AB11&lt;AB15,1,0)</x:f>
        <x:v>0</x:v>
      </x:c>
      <x:c r="AC16" s="86" t="n">
        <x:f>IF(AC11&lt;AC15,1,0)</x:f>
        <x:v>0</x:v>
      </x:c>
      <x:c r="AD16" s="86" t="n">
        <x:f>IF(AD11&lt;AD15,1,0)</x:f>
        <x:v>0</x:v>
      </x:c>
      <x:c r="AE16" s="86" t="n">
        <x:f>IF(AE11&lt;AE15,1,0)</x:f>
        <x:v>0</x:v>
      </x:c>
      <x:c r="AF16" s="86" t="n">
        <x:f>IF(AF11&lt;AF15,1,0)</x:f>
        <x:v>0</x:v>
      </x:c>
      <x:c r="AG16" s="86" t="n">
        <x:f>IF(AG11&lt;AG15,1,0)</x:f>
        <x:v>0</x:v>
      </x:c>
      <x:c r="AH16" s="86" t="n">
        <x:f>IF(AH11&lt;AH15,1,0)</x:f>
        <x:v>0</x:v>
      </x:c>
      <x:c r="AI16" s="86" t="n">
        <x:f>IF(AI11&lt;AI15,1,0)</x:f>
        <x:v>0</x:v>
      </x:c>
      <x:c r="AJ16" s="86" t="n">
        <x:f>IF(AJ11&lt;AJ15,1,0)</x:f>
        <x:v>0</x:v>
      </x:c>
      <x:c r="AK16" s="86" t="n">
        <x:f>IF(AK11&lt;AK15,1,0)</x:f>
        <x:v>0</x:v>
      </x:c>
    </x:row>
    <x:row r="17">
      <x:c r="A17" s="85" t="str">
        <x:v>Первый месяц потребности в капитале</x:v>
      </x:c>
      <x:c r="B17" s="86" t="n">
        <x:f>IF(B16=1,1,0)</x:f>
        <x:v>0</x:v>
      </x:c>
      <x:c r="C17" s="86" t="n">
        <x:f>IF(B17&gt;0,B17,IF(C16=1,2,0))</x:f>
        <x:v>0</x:v>
      </x:c>
      <x:c r="D17" s="86" t="n">
        <x:f>IF(C17&gt;0,C17,IF(D16=1,3,0))</x:f>
        <x:v>0</x:v>
      </x:c>
      <x:c r="E17" s="86" t="n">
        <x:f>IF(D17&gt;0,D17,IF(E16=1,4,0))</x:f>
        <x:v>0</x:v>
      </x:c>
      <x:c r="F17" s="86" t="n">
        <x:f>IF(E17&gt;0,E17,IF(F16=1,5,0))</x:f>
        <x:v>0</x:v>
      </x:c>
      <x:c r="G17" s="86" t="n">
        <x:f>IF(F17&gt;0,F17,IF(G16=1,6,0))</x:f>
        <x:v>0</x:v>
      </x:c>
      <x:c r="H17" s="86" t="n">
        <x:f>IF(G17&gt;0,G17,IF(H16=1,7,0))</x:f>
        <x:v>0</x:v>
      </x:c>
      <x:c r="I17" s="86" t="n">
        <x:f>IF(H17&gt;0,H17,IF(I16=1,8,0))</x:f>
        <x:v>8</x:v>
      </x:c>
      <x:c r="J17" s="86" t="n">
        <x:f>IF(I17&gt;0,I17,IF(J16=1,9,0))</x:f>
        <x:v>8</x:v>
      </x:c>
      <x:c r="K17" s="86" t="n">
        <x:f>IF(J17&gt;0,J17,IF(K16=1,10,0))</x:f>
        <x:v>8</x:v>
      </x:c>
      <x:c r="L17" s="86" t="n">
        <x:f>IF(K17&gt;0,K17,IF(L16=1,11,0))</x:f>
        <x:v>8</x:v>
      </x:c>
      <x:c r="M17" s="86" t="n">
        <x:f>IF(L17&gt;0,L17,IF(M16=1,12,0))</x:f>
        <x:v>8</x:v>
      </x:c>
      <x:c r="N17" s="86" t="n">
        <x:f>IF(M17&gt;0,M17,IF(N16=1,13,0))</x:f>
        <x:v>8</x:v>
      </x:c>
      <x:c r="O17" s="86" t="n">
        <x:f>IF(N17&gt;0,N17,IF(O16=1,14,0))</x:f>
        <x:v>8</x:v>
      </x:c>
      <x:c r="P17" s="86" t="n">
        <x:f>IF(O17&gt;0,O17,IF(P16=1,15,0))</x:f>
        <x:v>8</x:v>
      </x:c>
      <x:c r="Q17" s="86" t="n">
        <x:f>IF(P17&gt;0,P17,IF(Q16=1,16,0))</x:f>
        <x:v>8</x:v>
      </x:c>
      <x:c r="R17" s="86" t="n">
        <x:f>IF(Q17&gt;0,Q17,IF(R16=1,17,0))</x:f>
        <x:v>8</x:v>
      </x:c>
      <x:c r="S17" s="86" t="n">
        <x:f>IF(R17&gt;0,R17,IF(S16=1,18,0))</x:f>
        <x:v>8</x:v>
      </x:c>
      <x:c r="T17" s="86" t="n">
        <x:f>IF(S17&gt;0,S17,IF(T16=1,19,0))</x:f>
        <x:v>8</x:v>
      </x:c>
      <x:c r="U17" s="86" t="n">
        <x:f>IF(T17&gt;0,T17,IF(U16=1,20,0))</x:f>
        <x:v>8</x:v>
      </x:c>
      <x:c r="V17" s="86" t="n">
        <x:f>IF(U17&gt;0,U17,IF(V16=1,21,0))</x:f>
        <x:v>8</x:v>
      </x:c>
      <x:c r="W17" s="86" t="n">
        <x:f>IF(V17&gt;0,V17,IF(W16=1,22,0))</x:f>
        <x:v>8</x:v>
      </x:c>
      <x:c r="X17" s="86" t="n">
        <x:f>IF(W17&gt;0,W17,IF(X16=1,23,0))</x:f>
        <x:v>8</x:v>
      </x:c>
      <x:c r="Y17" s="86" t="n">
        <x:f>IF(X17&gt;0,X17,IF(Y16=1,24,0))</x:f>
        <x:v>8</x:v>
      </x:c>
      <x:c r="Z17" s="86" t="n">
        <x:f>IF(Y17&gt;0,Y17,IF(Z16=1,25,0))</x:f>
        <x:v>8</x:v>
      </x:c>
      <x:c r="AA17" s="86" t="n">
        <x:f>IF(Z17&gt;0,Z17,IF(AA16=1,26,0))</x:f>
        <x:v>8</x:v>
      </x:c>
      <x:c r="AB17" s="86" t="n">
        <x:f>IF(AA17&gt;0,AA17,IF(AB16=1,27,0))</x:f>
        <x:v>8</x:v>
      </x:c>
      <x:c r="AC17" s="86" t="n">
        <x:f>IF(AB17&gt;0,AB17,IF(AC16=1,28,0))</x:f>
        <x:v>8</x:v>
      </x:c>
      <x:c r="AD17" s="86" t="n">
        <x:f>IF(AC17&gt;0,AC17,IF(AD16=1,29,0))</x:f>
        <x:v>8</x:v>
      </x:c>
      <x:c r="AE17" s="86" t="n">
        <x:f>IF(AD17&gt;0,AD17,IF(AE16=1,30,0))</x:f>
        <x:v>8</x:v>
      </x:c>
      <x:c r="AF17" s="86" t="n">
        <x:f>IF(AE17&gt;0,AE17,IF(AF16=1,31,0))</x:f>
        <x:v>8</x:v>
      </x:c>
      <x:c r="AG17" s="86" t="n">
        <x:f>IF(AF17&gt;0,AF17,IF(AG16=1,32,0))</x:f>
        <x:v>8</x:v>
      </x:c>
      <x:c r="AH17" s="86" t="n">
        <x:f>IF(AG17&gt;0,AG17,IF(AH16=1,33,0))</x:f>
        <x:v>8</x:v>
      </x:c>
      <x:c r="AI17" s="86" t="n">
        <x:f>IF(AH17&gt;0,AH17,IF(AI16=1,34,0))</x:f>
        <x:v>8</x:v>
      </x:c>
      <x:c r="AJ17" s="86" t="n">
        <x:f>IF(AI17&gt;0,AI17,IF(AJ16=1,35,0))</x:f>
        <x:v>8</x:v>
      </x:c>
      <x:c r="AK17" s="86" t="n">
        <x:f>IF(AJ17&gt;0,AJ17,IF(AK16=1,36,0))</x:f>
        <x:v>8</x:v>
      </x:c>
    </x:row>
    <x:row r="18">
      <x:c r="A18" s="87" t="str">
        <x:v>Объём дополнительного капитала для покрытия минимума</x:v>
      </x:c>
      <x:c r="B18" s="79" t="n">
        <x:f>MAX(0,B15-B11)</x:f>
        <x:v>0</x:v>
      </x:c>
      <x:c r="C18" s="79" t="n">
        <x:f>MAX(0,C15-C11)</x:f>
        <x:v>0</x:v>
      </x:c>
      <x:c r="D18" s="79" t="n">
        <x:f>MAX(0,D15-D11)</x:f>
        <x:v>0</x:v>
      </x:c>
      <x:c r="E18" s="79" t="n">
        <x:f>MAX(0,E15-E11)</x:f>
        <x:v>0</x:v>
      </x:c>
      <x:c r="F18" s="79" t="n">
        <x:f>MAX(0,F15-F11)</x:f>
        <x:v>0</x:v>
      </x:c>
      <x:c r="G18" s="79" t="n">
        <x:f>MAX(0,G15-G11)</x:f>
        <x:v>0</x:v>
      </x:c>
      <x:c r="H18" s="79" t="n">
        <x:f>MAX(0,H15-H11)</x:f>
        <x:v>0</x:v>
      </x:c>
      <x:c r="I18" s="79" t="n">
        <x:f>MAX(0,I15-I11)</x:f>
        <x:v>619437.4086921392</x:v>
      </x:c>
      <x:c r="J18" s="79" t="n">
        <x:f>MAX(0,J15-J11)</x:f>
        <x:v>969902.2776893307</x:v>
      </x:c>
      <x:c r="K18" s="79" t="n">
        <x:f>MAX(0,K15-K11)</x:f>
        <x:v>1168832.5446320642</x:v>
      </x:c>
      <x:c r="L18" s="79" t="n">
        <x:f>MAX(0,L15-L11)</x:f>
        <x:v>962673.3919334069</x:v>
      </x:c>
      <x:c r="M18" s="79" t="n">
        <x:f>MAX(0,M15-M11)</x:f>
        <x:v>355475.71378977504</x:v>
      </x:c>
      <x:c r="N18" s="79" t="n">
        <x:f>MAX(0,N15-N11)</x:f>
        <x:v>0</x:v>
      </x:c>
      <x:c r="O18" s="79" t="n">
        <x:f>MAX(0,O15-O11)</x:f>
        <x:v>0</x:v>
      </x:c>
      <x:c r="P18" s="79" t="n">
        <x:f>MAX(0,P15-P11)</x:f>
        <x:v>0</x:v>
      </x:c>
      <x:c r="Q18" s="79" t="n">
        <x:f>MAX(0,Q15-Q11)</x:f>
        <x:v>0</x:v>
      </x:c>
      <x:c r="R18" s="79" t="n">
        <x:f>MAX(0,R15-R11)</x:f>
        <x:v>0</x:v>
      </x:c>
      <x:c r="S18" s="79" t="n">
        <x:f>MAX(0,S15-S11)</x:f>
        <x:v>0</x:v>
      </x:c>
      <x:c r="T18" s="79" t="n">
        <x:f>MAX(0,T15-T11)</x:f>
        <x:v>0</x:v>
      </x:c>
      <x:c r="U18" s="79" t="n">
        <x:f>MAX(0,U15-U11)</x:f>
        <x:v>0</x:v>
      </x:c>
      <x:c r="V18" s="79" t="n">
        <x:f>MAX(0,V15-V11)</x:f>
        <x:v>0</x:v>
      </x:c>
      <x:c r="W18" s="79" t="n">
        <x:f>MAX(0,W15-W11)</x:f>
        <x:v>0</x:v>
      </x:c>
      <x:c r="X18" s="79" t="n">
        <x:f>MAX(0,X15-X11)</x:f>
        <x:v>0</x:v>
      </x:c>
      <x:c r="Y18" s="79" t="n">
        <x:f>MAX(0,Y15-Y11)</x:f>
        <x:v>0</x:v>
      </x:c>
      <x:c r="Z18" s="79" t="n">
        <x:f>MAX(0,Z15-Z11)</x:f>
        <x:v>0</x:v>
      </x:c>
      <x:c r="AA18" s="79" t="n">
        <x:f>MAX(0,AA15-AA11)</x:f>
        <x:v>0</x:v>
      </x:c>
      <x:c r="AB18" s="79" t="n">
        <x:f>MAX(0,AB15-AB11)</x:f>
        <x:v>0</x:v>
      </x:c>
      <x:c r="AC18" s="79" t="n">
        <x:f>MAX(0,AC15-AC11)</x:f>
        <x:v>0</x:v>
      </x:c>
      <x:c r="AD18" s="79" t="n">
        <x:f>MAX(0,AD15-AD11)</x:f>
        <x:v>0</x:v>
      </x:c>
      <x:c r="AE18" s="79" t="n">
        <x:f>MAX(0,AE15-AE11)</x:f>
        <x:v>0</x:v>
      </x:c>
      <x:c r="AF18" s="79" t="n">
        <x:f>MAX(0,AF15-AF11)</x:f>
        <x:v>0</x:v>
      </x:c>
      <x:c r="AG18" s="79" t="n">
        <x:f>MAX(0,AG15-AG11)</x:f>
        <x:v>0</x:v>
      </x:c>
      <x:c r="AH18" s="79" t="n">
        <x:f>MAX(0,AH15-AH11)</x:f>
        <x:v>0</x:v>
      </x:c>
      <x:c r="AI18" s="79" t="n">
        <x:f>MAX(0,AI15-AI11)</x:f>
        <x:v>0</x:v>
      </x:c>
      <x:c r="AJ18" s="79" t="n">
        <x:f>MAX(0,AJ15-AJ11)</x:f>
        <x:v>0</x:v>
      </x:c>
      <x:c r="AK18" s="79" t="n">
        <x:f>MAX(0,AK15-AK11)</x:f>
        <x:v>0</x:v>
      </x:c>
    </x:row>
    <x:row r="19">
      <x:c r="A19" s="85" t="str"/>
      <x:c r="B19" s="80"/>
      <x:c r="C19" s="80"/>
      <x:c r="D19" s="80"/>
      <x:c r="E19" s="80"/>
      <x:c r="F19" s="80"/>
      <x:c r="G19" s="80"/>
      <x:c r="H19" s="80"/>
      <x:c r="I19" s="80"/>
      <x:c r="J19" s="80"/>
      <x:c r="K19" s="80"/>
      <x:c r="L19" s="80"/>
      <x:c r="M19" s="80"/>
      <x:c r="N19" s="80"/>
      <x:c r="O19" s="80"/>
      <x:c r="P19" s="80"/>
      <x:c r="Q19" s="80"/>
      <x:c r="R19" s="80"/>
      <x:c r="S19" s="80"/>
      <x:c r="T19" s="80"/>
      <x:c r="U19" s="80"/>
      <x:c r="V19" s="80"/>
      <x:c r="W19" s="80"/>
      <x:c r="X19" s="80"/>
      <x:c r="Y19" s="80"/>
      <x:c r="Z19" s="80"/>
      <x:c r="AA19" s="80"/>
      <x:c r="AB19" s="80"/>
      <x:c r="AC19" s="80"/>
      <x:c r="AD19" s="80"/>
      <x:c r="AE19" s="80"/>
      <x:c r="AF19" s="80"/>
      <x:c r="AG19" s="80"/>
      <x:c r="AH19" s="80"/>
      <x:c r="AI19" s="80"/>
      <x:c r="AJ19" s="80"/>
      <x:c r="AK19" s="80"/>
    </x:row>
    <x:row r="20">
      <x:c r="A20" s="85" t="str">
        <x:v>Операционная прибыль положительная?</x:v>
      </x:c>
      <x:c r="B20" s="86" t="n">
        <x:f>IF('Прибыли и убытки'!B26&gt;=0,1,0)</x:f>
        <x:v>0</x:v>
      </x:c>
      <x:c r="C20" s="86" t="n">
        <x:f>IF('Прибыли и убытки'!C26&gt;=0,1,0)</x:f>
        <x:v>0</x:v>
      </x:c>
      <x:c r="D20" s="86" t="n">
        <x:f>IF('Прибыли и убытки'!D26&gt;=0,1,0)</x:f>
        <x:v>0</x:v>
      </x:c>
      <x:c r="E20" s="86" t="n">
        <x:f>IF('Прибыли и убытки'!E26&gt;=0,1,0)</x:f>
        <x:v>0</x:v>
      </x:c>
      <x:c r="F20" s="86" t="n">
        <x:f>IF('Прибыли и убытки'!F26&gt;=0,1,0)</x:f>
        <x:v>0</x:v>
      </x:c>
      <x:c r="G20" s="86" t="n">
        <x:f>IF('Прибыли и убытки'!G26&gt;=0,1,0)</x:f>
        <x:v>0</x:v>
      </x:c>
      <x:c r="H20" s="86" t="n">
        <x:f>IF('Прибыли и убытки'!H26&gt;=0,1,0)</x:f>
        <x:v>0</x:v>
      </x:c>
      <x:c r="I20" s="86" t="n">
        <x:f>IF('Прибыли и убытки'!I26&gt;=0,1,0)</x:f>
        <x:v>0</x:v>
      </x:c>
      <x:c r="J20" s="86" t="n">
        <x:f>IF('Прибыли и убытки'!J26&gt;=0,1,0)</x:f>
        <x:v>0</x:v>
      </x:c>
      <x:c r="K20" s="86" t="n">
        <x:f>IF('Прибыли и убытки'!K26&gt;=0,1,0)</x:f>
        <x:v>1</x:v>
      </x:c>
      <x:c r="L20" s="86" t="n">
        <x:f>IF('Прибыли и убытки'!L26&gt;=0,1,0)</x:f>
        <x:v>1</x:v>
      </x:c>
      <x:c r="M20" s="86" t="n">
        <x:f>IF('Прибыли и убытки'!M26&gt;=0,1,0)</x:f>
        <x:v>1</x:v>
      </x:c>
      <x:c r="N20" s="86" t="n">
        <x:f>IF('Прибыли и убытки'!N26&gt;=0,1,0)</x:f>
        <x:v>1</x:v>
      </x:c>
      <x:c r="O20" s="86" t="n">
        <x:f>IF('Прибыли и убытки'!O26&gt;=0,1,0)</x:f>
        <x:v>1</x:v>
      </x:c>
      <x:c r="P20" s="86" t="n">
        <x:f>IF('Прибыли и убытки'!P26&gt;=0,1,0)</x:f>
        <x:v>1</x:v>
      </x:c>
      <x:c r="Q20" s="86" t="n">
        <x:f>IF('Прибыли и убытки'!Q26&gt;=0,1,0)</x:f>
        <x:v>1</x:v>
      </x:c>
      <x:c r="R20" s="86" t="n">
        <x:f>IF('Прибыли и убытки'!R26&gt;=0,1,0)</x:f>
        <x:v>1</x:v>
      </x:c>
      <x:c r="S20" s="86" t="n">
        <x:f>IF('Прибыли и убытки'!S26&gt;=0,1,0)</x:f>
        <x:v>1</x:v>
      </x:c>
      <x:c r="T20" s="86" t="n">
        <x:f>IF('Прибыли и убытки'!T26&gt;=0,1,0)</x:f>
        <x:v>1</x:v>
      </x:c>
      <x:c r="U20" s="86" t="n">
        <x:f>IF('Прибыли и убытки'!U26&gt;=0,1,0)</x:f>
        <x:v>1</x:v>
      </x:c>
      <x:c r="V20" s="86" t="n">
        <x:f>IF('Прибыли и убытки'!V26&gt;=0,1,0)</x:f>
        <x:v>1</x:v>
      </x:c>
      <x:c r="W20" s="86" t="n">
        <x:f>IF('Прибыли и убытки'!W26&gt;=0,1,0)</x:f>
        <x:v>1</x:v>
      </x:c>
      <x:c r="X20" s="86" t="n">
        <x:f>IF('Прибыли и убытки'!X26&gt;=0,1,0)</x:f>
        <x:v>1</x:v>
      </x:c>
      <x:c r="Y20" s="86" t="n">
        <x:f>IF('Прибыли и убытки'!Y26&gt;=0,1,0)</x:f>
        <x:v>1</x:v>
      </x:c>
      <x:c r="Z20" s="86" t="n">
        <x:f>IF('Прибыли и убытки'!Z26&gt;=0,1,0)</x:f>
        <x:v>1</x:v>
      </x:c>
      <x:c r="AA20" s="86" t="n">
        <x:f>IF('Прибыли и убытки'!AA26&gt;=0,1,0)</x:f>
        <x:v>1</x:v>
      </x:c>
      <x:c r="AB20" s="86" t="n">
        <x:f>IF('Прибыли и убытки'!AB26&gt;=0,1,0)</x:f>
        <x:v>1</x:v>
      </x:c>
      <x:c r="AC20" s="86" t="n">
        <x:f>IF('Прибыли и убытки'!AC26&gt;=0,1,0)</x:f>
        <x:v>1</x:v>
      </x:c>
      <x:c r="AD20" s="86" t="n">
        <x:f>IF('Прибыли и убытки'!AD26&gt;=0,1,0)</x:f>
        <x:v>1</x:v>
      </x:c>
      <x:c r="AE20" s="86" t="n">
        <x:f>IF('Прибыли и убытки'!AE26&gt;=0,1,0)</x:f>
        <x:v>1</x:v>
      </x:c>
      <x:c r="AF20" s="86" t="n">
        <x:f>IF('Прибыли и убытки'!AF26&gt;=0,1,0)</x:f>
        <x:v>1</x:v>
      </x:c>
      <x:c r="AG20" s="86" t="n">
        <x:f>IF('Прибыли и убытки'!AG26&gt;=0,1,0)</x:f>
        <x:v>1</x:v>
      </x:c>
      <x:c r="AH20" s="86" t="n">
        <x:f>IF('Прибыли и убытки'!AH26&gt;=0,1,0)</x:f>
        <x:v>1</x:v>
      </x:c>
      <x:c r="AI20" s="86" t="n">
        <x:f>IF('Прибыли и убытки'!AI26&gt;=0,1,0)</x:f>
        <x:v>1</x:v>
      </x:c>
      <x:c r="AJ20" s="86" t="n">
        <x:f>IF('Прибыли и убытки'!AJ26&gt;=0,1,0)</x:f>
        <x:v>1</x:v>
      </x:c>
      <x:c r="AK20" s="86" t="n">
        <x:f>IF('Прибыли и убытки'!AK26&gt;=0,1,0)</x:f>
        <x:v>1</x:v>
      </x:c>
    </x:row>
    <x:row r="21">
      <x:c r="A21" s="85" t="str">
        <x:v>Первый месяц положительной операционной прибыли</x:v>
      </x:c>
      <x:c r="B21" s="86" t="n">
        <x:f>IF(B20=1,1,0)</x:f>
        <x:v>0</x:v>
      </x:c>
      <x:c r="C21" s="86" t="n">
        <x:f>IF(B21&gt;0,B21,IF(C20=1,2,0))</x:f>
        <x:v>0</x:v>
      </x:c>
      <x:c r="D21" s="86" t="n">
        <x:f>IF(C21&gt;0,C21,IF(D20=1,3,0))</x:f>
        <x:v>0</x:v>
      </x:c>
      <x:c r="E21" s="86" t="n">
        <x:f>IF(D21&gt;0,D21,IF(E20=1,4,0))</x:f>
        <x:v>0</x:v>
      </x:c>
      <x:c r="F21" s="86" t="n">
        <x:f>IF(E21&gt;0,E21,IF(F20=1,5,0))</x:f>
        <x:v>0</x:v>
      </x:c>
      <x:c r="G21" s="86" t="n">
        <x:f>IF(F21&gt;0,F21,IF(G20=1,6,0))</x:f>
        <x:v>0</x:v>
      </x:c>
      <x:c r="H21" s="86" t="n">
        <x:f>IF(G21&gt;0,G21,IF(H20=1,7,0))</x:f>
        <x:v>0</x:v>
      </x:c>
      <x:c r="I21" s="86" t="n">
        <x:f>IF(H21&gt;0,H21,IF(I20=1,8,0))</x:f>
        <x:v>0</x:v>
      </x:c>
      <x:c r="J21" s="86" t="n">
        <x:f>IF(I21&gt;0,I21,IF(J20=1,9,0))</x:f>
        <x:v>0</x:v>
      </x:c>
      <x:c r="K21" s="86" t="n">
        <x:f>IF(J21&gt;0,J21,IF(K20=1,10,0))</x:f>
        <x:v>10</x:v>
      </x:c>
      <x:c r="L21" s="86" t="n">
        <x:f>IF(K21&gt;0,K21,IF(L20=1,11,0))</x:f>
        <x:v>10</x:v>
      </x:c>
      <x:c r="M21" s="86" t="n">
        <x:f>IF(L21&gt;0,L21,IF(M20=1,12,0))</x:f>
        <x:v>10</x:v>
      </x:c>
      <x:c r="N21" s="86" t="n">
        <x:f>IF(M21&gt;0,M21,IF(N20=1,13,0))</x:f>
        <x:v>10</x:v>
      </x:c>
      <x:c r="O21" s="86" t="n">
        <x:f>IF(N21&gt;0,N21,IF(O20=1,14,0))</x:f>
        <x:v>10</x:v>
      </x:c>
      <x:c r="P21" s="86" t="n">
        <x:f>IF(O21&gt;0,O21,IF(P20=1,15,0))</x:f>
        <x:v>10</x:v>
      </x:c>
      <x:c r="Q21" s="86" t="n">
        <x:f>IF(P21&gt;0,P21,IF(Q20=1,16,0))</x:f>
        <x:v>10</x:v>
      </x:c>
      <x:c r="R21" s="86" t="n">
        <x:f>IF(Q21&gt;0,Q21,IF(R20=1,17,0))</x:f>
        <x:v>10</x:v>
      </x:c>
      <x:c r="S21" s="86" t="n">
        <x:f>IF(R21&gt;0,R21,IF(S20=1,18,0))</x:f>
        <x:v>10</x:v>
      </x:c>
      <x:c r="T21" s="86" t="n">
        <x:f>IF(S21&gt;0,S21,IF(T20=1,19,0))</x:f>
        <x:v>10</x:v>
      </x:c>
      <x:c r="U21" s="86" t="n">
        <x:f>IF(T21&gt;0,T21,IF(U20=1,20,0))</x:f>
        <x:v>10</x:v>
      </x:c>
      <x:c r="V21" s="86" t="n">
        <x:f>IF(U21&gt;0,U21,IF(V20=1,21,0))</x:f>
        <x:v>10</x:v>
      </x:c>
      <x:c r="W21" s="86" t="n">
        <x:f>IF(V21&gt;0,V21,IF(W20=1,22,0))</x:f>
        <x:v>10</x:v>
      </x:c>
      <x:c r="X21" s="86" t="n">
        <x:f>IF(W21&gt;0,W21,IF(X20=1,23,0))</x:f>
        <x:v>10</x:v>
      </x:c>
      <x:c r="Y21" s="86" t="n">
        <x:f>IF(X21&gt;0,X21,IF(Y20=1,24,0))</x:f>
        <x:v>10</x:v>
      </x:c>
      <x:c r="Z21" s="86" t="n">
        <x:f>IF(Y21&gt;0,Y21,IF(Z20=1,25,0))</x:f>
        <x:v>10</x:v>
      </x:c>
      <x:c r="AA21" s="86" t="n">
        <x:f>IF(Z21&gt;0,Z21,IF(AA20=1,26,0))</x:f>
        <x:v>10</x:v>
      </x:c>
      <x:c r="AB21" s="86" t="n">
        <x:f>IF(AA21&gt;0,AA21,IF(AB20=1,27,0))</x:f>
        <x:v>10</x:v>
      </x:c>
      <x:c r="AC21" s="86" t="n">
        <x:f>IF(AB21&gt;0,AB21,IF(AC20=1,28,0))</x:f>
        <x:v>10</x:v>
      </x:c>
      <x:c r="AD21" s="86" t="n">
        <x:f>IF(AC21&gt;0,AC21,IF(AD20=1,29,0))</x:f>
        <x:v>10</x:v>
      </x:c>
      <x:c r="AE21" s="86" t="n">
        <x:f>IF(AD21&gt;0,AD21,IF(AE20=1,30,0))</x:f>
        <x:v>10</x:v>
      </x:c>
      <x:c r="AF21" s="86" t="n">
        <x:f>IF(AE21&gt;0,AE21,IF(AF20=1,31,0))</x:f>
        <x:v>10</x:v>
      </x:c>
      <x:c r="AG21" s="86" t="n">
        <x:f>IF(AF21&gt;0,AF21,IF(AG20=1,32,0))</x:f>
        <x:v>10</x:v>
      </x:c>
      <x:c r="AH21" s="86" t="n">
        <x:f>IF(AG21&gt;0,AG21,IF(AH20=1,33,0))</x:f>
        <x:v>10</x:v>
      </x:c>
      <x:c r="AI21" s="86" t="n">
        <x:f>IF(AH21&gt;0,AH21,IF(AI20=1,34,0))</x:f>
        <x:v>10</x:v>
      </x:c>
      <x:c r="AJ21" s="86" t="n">
        <x:f>IF(AI21&gt;0,AI21,IF(AJ20=1,35,0))</x:f>
        <x:v>10</x:v>
      </x:c>
      <x:c r="AK21" s="86" t="n">
        <x:f>IF(AJ21&gt;0,AJ21,IF(AK20=1,36,0))</x:f>
        <x:v>10</x:v>
      </x:c>
    </x:row>
    <x:row r="22">
      <x:c r="A22" s="85"/>
      <x:c r="B22" s="80"/>
      <x:c r="C22" s="80"/>
      <x:c r="D22" s="80"/>
      <x:c r="E22" s="80"/>
      <x:c r="F22" s="80"/>
      <x:c r="G22" s="80"/>
      <x:c r="H22" s="80"/>
      <x:c r="I22" s="80"/>
      <x:c r="J22" s="80"/>
      <x:c r="K22" s="80"/>
      <x:c r="L22" s="80"/>
      <x:c r="M22" s="80"/>
      <x:c r="N22" s="80"/>
      <x:c r="O22" s="80"/>
      <x:c r="P22" s="80"/>
      <x:c r="Q22" s="80"/>
      <x:c r="R22" s="80"/>
      <x:c r="S22" s="80"/>
      <x:c r="T22" s="80"/>
      <x:c r="U22" s="80"/>
      <x:c r="V22" s="80"/>
      <x:c r="W22" s="80"/>
      <x:c r="X22" s="80"/>
      <x:c r="Y22" s="80"/>
      <x:c r="Z22" s="80"/>
      <x:c r="AA22" s="80"/>
      <x:c r="AB22" s="80"/>
      <x:c r="AC22" s="80"/>
      <x:c r="AD22" s="80"/>
      <x:c r="AE22" s="80"/>
      <x:c r="AF22" s="80"/>
      <x:c r="AG22" s="80"/>
      <x:c r="AH22" s="80"/>
      <x:c r="AI22" s="80"/>
      <x:c r="AJ22" s="80"/>
      <x:c r="AK22" s="80"/>
    </x:row>
    <x:row r="23">
      <x:c r="A23" s="85"/>
      <x:c r="B23" s="80"/>
      <x:c r="C23" s="80"/>
      <x:c r="D23" s="80"/>
      <x:c r="E23" s="80"/>
      <x:c r="F23" s="80"/>
      <x:c r="G23" s="80"/>
      <x:c r="H23" s="80"/>
      <x:c r="I23" s="80"/>
      <x:c r="J23" s="80"/>
      <x:c r="K23" s="80"/>
      <x:c r="L23" s="80"/>
      <x:c r="M23" s="80"/>
      <x:c r="N23" s="80"/>
      <x:c r="O23" s="80"/>
      <x:c r="P23" s="80"/>
      <x:c r="Q23" s="80"/>
      <x:c r="R23" s="80"/>
      <x:c r="S23" s="80"/>
      <x:c r="T23" s="80"/>
      <x:c r="U23" s="80"/>
      <x:c r="V23" s="80"/>
      <x:c r="W23" s="80"/>
      <x:c r="X23" s="80"/>
      <x:c r="Y23" s="80"/>
      <x:c r="Z23" s="80"/>
      <x:c r="AA23" s="80"/>
      <x:c r="AB23" s="80"/>
      <x:c r="AC23" s="80"/>
      <x:c r="AD23" s="80"/>
      <x:c r="AE23" s="80"/>
      <x:c r="AF23" s="80"/>
      <x:c r="AG23" s="80"/>
      <x:c r="AH23" s="80"/>
      <x:c r="AI23" s="80"/>
      <x:c r="AJ23" s="80"/>
      <x:c r="AK23" s="80"/>
    </x:row>
    <x:row r="24">
      <x:c r="A24" s="85"/>
      <x:c r="B24" s="80"/>
      <x:c r="C24" s="80"/>
      <x:c r="D24" s="80"/>
      <x:c r="E24" s="80"/>
      <x:c r="F24" s="80"/>
      <x:c r="G24" s="80"/>
      <x:c r="H24" s="80"/>
      <x:c r="I24" s="80"/>
      <x:c r="J24" s="80"/>
      <x:c r="K24" s="80"/>
      <x:c r="L24" s="80"/>
      <x:c r="M24" s="80"/>
      <x:c r="N24" s="80"/>
      <x:c r="O24" s="80"/>
      <x:c r="P24" s="80"/>
      <x:c r="Q24" s="80"/>
      <x:c r="R24" s="80"/>
      <x:c r="S24" s="80"/>
      <x:c r="T24" s="80"/>
      <x:c r="U24" s="80"/>
      <x:c r="V24" s="80"/>
      <x:c r="W24" s="80"/>
      <x:c r="X24" s="80"/>
      <x:c r="Y24" s="80"/>
      <x:c r="Z24" s="80"/>
      <x:c r="AA24" s="80"/>
      <x:c r="AB24" s="80"/>
      <x:c r="AC24" s="80"/>
      <x:c r="AD24" s="80"/>
      <x:c r="AE24" s="80"/>
      <x:c r="AF24" s="80"/>
      <x:c r="AG24" s="80"/>
      <x:c r="AH24" s="80"/>
      <x:c r="AI24" s="80"/>
      <x:c r="AJ24" s="80"/>
      <x:c r="AK24" s="80"/>
    </x:row>
    <x:row r="25">
      <x:c r="A25" s="85"/>
      <x:c r="B25" s="80"/>
      <x:c r="C25" s="80"/>
      <x:c r="D25" s="80"/>
      <x:c r="E25" s="80"/>
      <x:c r="F25" s="80"/>
      <x:c r="G25" s="80"/>
      <x:c r="H25" s="80"/>
      <x:c r="I25" s="80"/>
      <x:c r="J25" s="80"/>
      <x:c r="K25" s="80"/>
      <x:c r="L25" s="80"/>
      <x:c r="M25" s="80"/>
      <x:c r="N25" s="80"/>
      <x:c r="O25" s="80"/>
      <x:c r="P25" s="80"/>
      <x:c r="Q25" s="80"/>
      <x:c r="R25" s="80"/>
      <x:c r="S25" s="80"/>
      <x:c r="T25" s="80"/>
      <x:c r="U25" s="80"/>
      <x:c r="V25" s="80"/>
      <x:c r="W25" s="80"/>
      <x:c r="X25" s="80"/>
      <x:c r="Y25" s="80"/>
      <x:c r="Z25" s="80"/>
      <x:c r="AA25" s="80"/>
      <x:c r="AB25" s="80"/>
      <x:c r="AC25" s="80"/>
      <x:c r="AD25" s="80"/>
      <x:c r="AE25" s="80"/>
      <x:c r="AF25" s="80"/>
      <x:c r="AG25" s="80"/>
      <x:c r="AH25" s="80"/>
      <x:c r="AI25" s="80"/>
      <x:c r="AJ25" s="80"/>
      <x:c r="AK25" s="80"/>
    </x:row>
    <x:row r="26">
      <x:c r="A26" s="85"/>
      <x:c r="B26" s="80"/>
      <x:c r="C26" s="80"/>
      <x:c r="D26" s="80"/>
      <x:c r="E26" s="80"/>
      <x:c r="F26" s="80"/>
      <x:c r="G26" s="80"/>
      <x:c r="H26" s="80"/>
      <x:c r="I26" s="80"/>
      <x:c r="J26" s="80"/>
      <x:c r="K26" s="80"/>
      <x:c r="L26" s="80"/>
      <x:c r="M26" s="80"/>
      <x:c r="N26" s="80"/>
      <x:c r="O26" s="80"/>
      <x:c r="P26" s="80"/>
      <x:c r="Q26" s="80"/>
      <x:c r="R26" s="80"/>
      <x:c r="S26" s="80"/>
      <x:c r="T26" s="80"/>
      <x:c r="U26" s="80"/>
      <x:c r="V26" s="80"/>
      <x:c r="W26" s="80"/>
      <x:c r="X26" s="80"/>
      <x:c r="Y26" s="80"/>
      <x:c r="Z26" s="80"/>
      <x:c r="AA26" s="80"/>
      <x:c r="AB26" s="80"/>
      <x:c r="AC26" s="80"/>
      <x:c r="AD26" s="80"/>
      <x:c r="AE26" s="80"/>
      <x:c r="AF26" s="80"/>
      <x:c r="AG26" s="80"/>
      <x:c r="AH26" s="80"/>
      <x:c r="AI26" s="80"/>
      <x:c r="AJ26" s="80"/>
      <x:c r="AK26" s="80"/>
    </x:row>
    <x:row r="27">
      <x:c r="A27" s="85"/>
      <x:c r="B27" s="80"/>
      <x:c r="C27" s="80"/>
      <x:c r="D27" s="80"/>
      <x:c r="E27" s="80"/>
      <x:c r="F27" s="80"/>
      <x:c r="G27" s="80"/>
      <x:c r="H27" s="80"/>
      <x:c r="I27" s="80"/>
      <x:c r="J27" s="80"/>
      <x:c r="K27" s="80"/>
      <x:c r="L27" s="80"/>
      <x:c r="M27" s="80"/>
      <x:c r="N27" s="80"/>
      <x:c r="O27" s="80"/>
      <x:c r="P27" s="80"/>
      <x:c r="Q27" s="80"/>
      <x:c r="R27" s="80"/>
      <x:c r="S27" s="80"/>
      <x:c r="T27" s="80"/>
      <x:c r="U27" s="80"/>
      <x:c r="V27" s="80"/>
      <x:c r="W27" s="80"/>
      <x:c r="X27" s="80"/>
      <x:c r="Y27" s="80"/>
      <x:c r="Z27" s="80"/>
      <x:c r="AA27" s="80"/>
      <x:c r="AB27" s="80"/>
      <x:c r="AC27" s="80"/>
      <x:c r="AD27" s="80"/>
      <x:c r="AE27" s="80"/>
      <x:c r="AF27" s="80"/>
      <x:c r="AG27" s="80"/>
      <x:c r="AH27" s="80"/>
      <x:c r="AI27" s="80"/>
      <x:c r="AJ27" s="80"/>
      <x:c r="AK27" s="80"/>
    </x:row>
    <x:row r="28">
      <x:c r="A28" s="85"/>
      <x:c r="B28" s="80"/>
      <x:c r="C28" s="80"/>
      <x:c r="D28" s="80"/>
      <x:c r="E28" s="80"/>
      <x:c r="F28" s="80"/>
      <x:c r="G28" s="80"/>
      <x:c r="H28" s="80"/>
      <x:c r="I28" s="80"/>
      <x:c r="J28" s="80"/>
      <x:c r="K28" s="80"/>
      <x:c r="L28" s="80"/>
      <x:c r="M28" s="80"/>
      <x:c r="N28" s="80"/>
      <x:c r="O28" s="80"/>
      <x:c r="P28" s="80"/>
      <x:c r="Q28" s="80"/>
      <x:c r="R28" s="80"/>
      <x:c r="S28" s="80"/>
      <x:c r="T28" s="80"/>
      <x:c r="U28" s="80"/>
      <x:c r="V28" s="80"/>
      <x:c r="W28" s="80"/>
      <x:c r="X28" s="80"/>
      <x:c r="Y28" s="80"/>
      <x:c r="Z28" s="80"/>
      <x:c r="AA28" s="80"/>
      <x:c r="AB28" s="80"/>
      <x:c r="AC28" s="80"/>
      <x:c r="AD28" s="80"/>
      <x:c r="AE28" s="80"/>
      <x:c r="AF28" s="80"/>
      <x:c r="AG28" s="80"/>
      <x:c r="AH28" s="80"/>
      <x:c r="AI28" s="80"/>
      <x:c r="AJ28" s="80"/>
      <x:c r="AK28" s="80"/>
    </x:row>
    <x:row r="29">
      <x:c r="A29" s="85"/>
      <x:c r="B29" s="80"/>
      <x:c r="C29" s="80"/>
      <x:c r="D29" s="80"/>
      <x:c r="E29" s="80"/>
      <x:c r="F29" s="80"/>
      <x:c r="G29" s="80"/>
      <x:c r="H29" s="80"/>
      <x:c r="I29" s="80"/>
      <x:c r="J29" s="80"/>
      <x:c r="K29" s="80"/>
      <x:c r="L29" s="80"/>
      <x:c r="M29" s="80"/>
      <x:c r="N29" s="80"/>
      <x:c r="O29" s="80"/>
      <x:c r="P29" s="80"/>
      <x:c r="Q29" s="80"/>
      <x:c r="R29" s="80"/>
      <x:c r="S29" s="80"/>
      <x:c r="T29" s="80"/>
      <x:c r="U29" s="80"/>
      <x:c r="V29" s="80"/>
      <x:c r="W29" s="80"/>
      <x:c r="X29" s="80"/>
      <x:c r="Y29" s="80"/>
      <x:c r="Z29" s="80"/>
      <x:c r="AA29" s="80"/>
      <x:c r="AB29" s="80"/>
      <x:c r="AC29" s="80"/>
      <x:c r="AD29" s="80"/>
      <x:c r="AE29" s="80"/>
      <x:c r="AF29" s="80"/>
      <x:c r="AG29" s="80"/>
      <x:c r="AH29" s="80"/>
      <x:c r="AI29" s="80"/>
      <x:c r="AJ29" s="80"/>
      <x:c r="AK29" s="80"/>
    </x:row>
    <x:row r="30">
      <x:c r="A30" s="85"/>
      <x:c r="B30" s="80"/>
      <x:c r="C30" s="80"/>
      <x:c r="D30" s="80"/>
      <x:c r="E30" s="80"/>
      <x:c r="F30" s="80"/>
      <x:c r="G30" s="80"/>
      <x:c r="H30" s="80"/>
      <x:c r="I30" s="80"/>
      <x:c r="J30" s="80"/>
      <x:c r="K30" s="80"/>
      <x:c r="L30" s="80"/>
      <x:c r="M30" s="80"/>
      <x:c r="N30" s="80"/>
      <x:c r="O30" s="80"/>
      <x:c r="P30" s="80"/>
      <x:c r="Q30" s="80"/>
      <x:c r="R30" s="80"/>
      <x:c r="S30" s="80"/>
      <x:c r="T30" s="80"/>
      <x:c r="U30" s="80"/>
      <x:c r="V30" s="80"/>
      <x:c r="W30" s="80"/>
      <x:c r="X30" s="80"/>
      <x:c r="Y30" s="80"/>
      <x:c r="Z30" s="80"/>
      <x:c r="AA30" s="80"/>
      <x:c r="AB30" s="80"/>
      <x:c r="AC30" s="80"/>
      <x:c r="AD30" s="80"/>
      <x:c r="AE30" s="80"/>
      <x:c r="AF30" s="80"/>
      <x:c r="AG30" s="80"/>
      <x:c r="AH30" s="80"/>
      <x:c r="AI30" s="80"/>
      <x:c r="AJ30" s="80"/>
      <x:c r="AK30" s="80"/>
    </x:row>
    <x:row r="31">
      <x:c r="A31" s="85"/>
      <x:c r="B31" s="80"/>
      <x:c r="C31" s="80"/>
      <x:c r="D31" s="80"/>
      <x:c r="E31" s="80"/>
      <x:c r="F31" s="80"/>
      <x:c r="G31" s="80"/>
      <x:c r="H31" s="80"/>
      <x:c r="I31" s="80"/>
      <x:c r="J31" s="80"/>
      <x:c r="K31" s="80"/>
      <x:c r="L31" s="80"/>
      <x:c r="M31" s="80"/>
      <x:c r="N31" s="80"/>
      <x:c r="O31" s="80"/>
      <x:c r="P31" s="80"/>
      <x:c r="Q31" s="80"/>
      <x:c r="R31" s="80"/>
      <x:c r="S31" s="80"/>
      <x:c r="T31" s="80"/>
      <x:c r="U31" s="80"/>
      <x:c r="V31" s="80"/>
      <x:c r="W31" s="80"/>
      <x:c r="X31" s="80"/>
      <x:c r="Y31" s="80"/>
      <x:c r="Z31" s="80"/>
      <x:c r="AA31" s="80"/>
      <x:c r="AB31" s="80"/>
      <x:c r="AC31" s="80"/>
      <x:c r="AD31" s="80"/>
      <x:c r="AE31" s="80"/>
      <x:c r="AF31" s="80"/>
      <x:c r="AG31" s="80"/>
      <x:c r="AH31" s="80"/>
      <x:c r="AI31" s="80"/>
      <x:c r="AJ31" s="80"/>
      <x:c r="AK31" s="80"/>
    </x:row>
    <x:row r="32">
      <x:c r="A32" s="85"/>
      <x:c r="B32" s="80"/>
      <x:c r="C32" s="80"/>
      <x:c r="D32" s="80"/>
      <x:c r="E32" s="80"/>
      <x:c r="F32" s="80"/>
      <x:c r="G32" s="80"/>
      <x:c r="H32" s="80"/>
      <x:c r="I32" s="80"/>
      <x:c r="J32" s="80"/>
      <x:c r="K32" s="80"/>
      <x:c r="L32" s="80"/>
      <x:c r="M32" s="80"/>
      <x:c r="N32" s="80"/>
      <x:c r="O32" s="80"/>
      <x:c r="P32" s="80"/>
      <x:c r="Q32" s="80"/>
      <x:c r="R32" s="80"/>
      <x:c r="S32" s="80"/>
      <x:c r="T32" s="80"/>
      <x:c r="U32" s="80"/>
      <x:c r="V32" s="80"/>
      <x:c r="W32" s="80"/>
      <x:c r="X32" s="80"/>
      <x:c r="Y32" s="80"/>
      <x:c r="Z32" s="80"/>
      <x:c r="AA32" s="80"/>
      <x:c r="AB32" s="80"/>
      <x:c r="AC32" s="80"/>
      <x:c r="AD32" s="80"/>
      <x:c r="AE32" s="80"/>
      <x:c r="AF32" s="80"/>
      <x:c r="AG32" s="80"/>
      <x:c r="AH32" s="80"/>
      <x:c r="AI32" s="80"/>
      <x:c r="AJ32" s="80"/>
      <x:c r="AK32" s="80"/>
    </x:row>
    <x:row r="33">
      <x:c r="A33" s="85"/>
      <x:c r="B33" s="80"/>
      <x:c r="C33" s="80"/>
      <x:c r="D33" s="80"/>
      <x:c r="E33" s="80"/>
      <x:c r="F33" s="80"/>
      <x:c r="G33" s="80"/>
      <x:c r="H33" s="80"/>
      <x:c r="I33" s="80"/>
      <x:c r="J33" s="80"/>
      <x:c r="K33" s="80"/>
      <x:c r="L33" s="80"/>
      <x:c r="M33" s="80"/>
      <x:c r="N33" s="80"/>
      <x:c r="O33" s="80"/>
      <x:c r="P33" s="80"/>
      <x:c r="Q33" s="80"/>
      <x:c r="R33" s="80"/>
      <x:c r="S33" s="80"/>
      <x:c r="T33" s="80"/>
      <x:c r="U33" s="80"/>
      <x:c r="V33" s="80"/>
      <x:c r="W33" s="80"/>
      <x:c r="X33" s="80"/>
      <x:c r="Y33" s="80"/>
      <x:c r="Z33" s="80"/>
      <x:c r="AA33" s="80"/>
      <x:c r="AB33" s="80"/>
      <x:c r="AC33" s="80"/>
      <x:c r="AD33" s="80"/>
      <x:c r="AE33" s="80"/>
      <x:c r="AF33" s="80"/>
      <x:c r="AG33" s="80"/>
      <x:c r="AH33" s="80"/>
      <x:c r="AI33" s="80"/>
      <x:c r="AJ33" s="80"/>
      <x:c r="AK33" s="80"/>
    </x:row>
    <x:row r="34">
      <x:c r="A34" s="85"/>
      <x:c r="B34" s="80"/>
      <x:c r="C34" s="80"/>
      <x:c r="D34" s="80"/>
      <x:c r="E34" s="80"/>
      <x:c r="F34" s="80"/>
      <x:c r="G34" s="80"/>
      <x:c r="H34" s="80"/>
      <x:c r="I34" s="80"/>
      <x:c r="J34" s="80"/>
      <x:c r="K34" s="80"/>
      <x:c r="L34" s="80"/>
      <x:c r="M34" s="80"/>
      <x:c r="N34" s="80"/>
      <x:c r="O34" s="80"/>
      <x:c r="P34" s="80"/>
      <x:c r="Q34" s="80"/>
      <x:c r="R34" s="80"/>
      <x:c r="S34" s="80"/>
      <x:c r="T34" s="80"/>
      <x:c r="U34" s="80"/>
      <x:c r="V34" s="80"/>
      <x:c r="W34" s="80"/>
      <x:c r="X34" s="80"/>
      <x:c r="Y34" s="80"/>
      <x:c r="Z34" s="80"/>
      <x:c r="AA34" s="80"/>
      <x:c r="AB34" s="80"/>
      <x:c r="AC34" s="80"/>
      <x:c r="AD34" s="80"/>
      <x:c r="AE34" s="80"/>
      <x:c r="AF34" s="80"/>
      <x:c r="AG34" s="80"/>
      <x:c r="AH34" s="80"/>
      <x:c r="AI34" s="80"/>
      <x:c r="AJ34" s="80"/>
      <x:c r="AK34" s="80"/>
    </x:row>
    <x:row r="35">
      <x:c r="A35" s="85"/>
      <x:c r="B35" s="80"/>
      <x:c r="C35" s="80"/>
      <x:c r="D35" s="80"/>
      <x:c r="E35" s="80"/>
      <x:c r="F35" s="80"/>
      <x:c r="G35" s="80"/>
      <x:c r="H35" s="80"/>
      <x:c r="I35" s="80"/>
      <x:c r="J35" s="80"/>
      <x:c r="K35" s="80"/>
      <x:c r="L35" s="80"/>
      <x:c r="M35" s="80"/>
      <x:c r="N35" s="80"/>
      <x:c r="O35" s="80"/>
      <x:c r="P35" s="80"/>
      <x:c r="Q35" s="80"/>
      <x:c r="R35" s="80"/>
      <x:c r="S35" s="80"/>
      <x:c r="T35" s="80"/>
      <x:c r="U35" s="80"/>
      <x:c r="V35" s="80"/>
      <x:c r="W35" s="80"/>
      <x:c r="X35" s="80"/>
      <x:c r="Y35" s="80"/>
      <x:c r="Z35" s="80"/>
      <x:c r="AA35" s="80"/>
      <x:c r="AB35" s="80"/>
      <x:c r="AC35" s="80"/>
      <x:c r="AD35" s="80"/>
      <x:c r="AE35" s="80"/>
      <x:c r="AF35" s="80"/>
      <x:c r="AG35" s="80"/>
      <x:c r="AH35" s="80"/>
      <x:c r="AI35" s="80"/>
      <x:c r="AJ35" s="80"/>
      <x:c r="AK35" s="80"/>
    </x:row>
    <x:row r="36">
      <x:c r="A36" s="85"/>
      <x:c r="B36" s="80"/>
      <x:c r="C36" s="80"/>
      <x:c r="D36" s="80"/>
      <x:c r="E36" s="80"/>
      <x:c r="F36" s="80"/>
      <x:c r="G36" s="80"/>
      <x:c r="H36" s="80"/>
      <x:c r="I36" s="80"/>
      <x:c r="J36" s="80"/>
      <x:c r="K36" s="80"/>
      <x:c r="L36" s="80"/>
      <x:c r="M36" s="80"/>
      <x:c r="N36" s="80"/>
      <x:c r="O36" s="80"/>
      <x:c r="P36" s="80"/>
      <x:c r="Q36" s="80"/>
      <x:c r="R36" s="80"/>
      <x:c r="S36" s="80"/>
      <x:c r="T36" s="80"/>
      <x:c r="U36" s="80"/>
      <x:c r="V36" s="80"/>
      <x:c r="W36" s="80"/>
      <x:c r="X36" s="80"/>
      <x:c r="Y36" s="80"/>
      <x:c r="Z36" s="80"/>
      <x:c r="AA36" s="80"/>
      <x:c r="AB36" s="80"/>
      <x:c r="AC36" s="80"/>
      <x:c r="AD36" s="80"/>
      <x:c r="AE36" s="80"/>
      <x:c r="AF36" s="80"/>
      <x:c r="AG36" s="80"/>
      <x:c r="AH36" s="80"/>
      <x:c r="AI36" s="80"/>
      <x:c r="AJ36" s="80"/>
      <x:c r="AK36" s="80"/>
    </x:row>
    <x:row r="37">
      <x:c r="A37" s="85"/>
      <x:c r="B37" s="80"/>
      <x:c r="C37" s="80"/>
      <x:c r="D37" s="80"/>
      <x:c r="E37" s="80"/>
      <x:c r="F37" s="80"/>
      <x:c r="G37" s="80"/>
      <x:c r="H37" s="80"/>
      <x:c r="I37" s="80"/>
      <x:c r="J37" s="80"/>
      <x:c r="K37" s="80"/>
      <x:c r="L37" s="80"/>
      <x:c r="M37" s="80"/>
      <x:c r="N37" s="80"/>
      <x:c r="O37" s="80"/>
      <x:c r="P37" s="80"/>
      <x:c r="Q37" s="80"/>
      <x:c r="R37" s="80"/>
      <x:c r="S37" s="80"/>
      <x:c r="T37" s="80"/>
      <x:c r="U37" s="80"/>
      <x:c r="V37" s="80"/>
      <x:c r="W37" s="80"/>
      <x:c r="X37" s="80"/>
      <x:c r="Y37" s="80"/>
      <x:c r="Z37" s="80"/>
      <x:c r="AA37" s="80"/>
      <x:c r="AB37" s="80"/>
      <x:c r="AC37" s="80"/>
      <x:c r="AD37" s="80"/>
      <x:c r="AE37" s="80"/>
      <x:c r="AF37" s="80"/>
      <x:c r="AG37" s="80"/>
      <x:c r="AH37" s="80"/>
      <x:c r="AI37" s="80"/>
      <x:c r="AJ37" s="80"/>
      <x:c r="AK37" s="80"/>
    </x:row>
    <x:row r="38">
      <x:c r="A38" s="85"/>
      <x:c r="B38" s="80"/>
      <x:c r="C38" s="80"/>
      <x:c r="D38" s="80"/>
      <x:c r="E38" s="80"/>
      <x:c r="F38" s="80"/>
      <x:c r="G38" s="80"/>
      <x:c r="H38" s="80"/>
      <x:c r="I38" s="80"/>
      <x:c r="J38" s="80"/>
      <x:c r="K38" s="80"/>
      <x:c r="L38" s="80"/>
      <x:c r="M38" s="80"/>
      <x:c r="N38" s="80"/>
      <x:c r="O38" s="80"/>
      <x:c r="P38" s="80"/>
      <x:c r="Q38" s="80"/>
      <x:c r="R38" s="80"/>
      <x:c r="S38" s="80"/>
      <x:c r="T38" s="80"/>
      <x:c r="U38" s="80"/>
      <x:c r="V38" s="80"/>
      <x:c r="W38" s="80"/>
      <x:c r="X38" s="80"/>
      <x:c r="Y38" s="80"/>
      <x:c r="Z38" s="80"/>
      <x:c r="AA38" s="80"/>
      <x:c r="AB38" s="80"/>
      <x:c r="AC38" s="80"/>
      <x:c r="AD38" s="80"/>
      <x:c r="AE38" s="80"/>
      <x:c r="AF38" s="80"/>
      <x:c r="AG38" s="80"/>
      <x:c r="AH38" s="80"/>
      <x:c r="AI38" s="80"/>
      <x:c r="AJ38" s="80"/>
      <x:c r="AK38" s="80"/>
    </x:row>
    <x:row r="39">
      <x:c r="A39" s="85"/>
      <x:c r="B39" s="80"/>
      <x:c r="C39" s="80"/>
      <x:c r="D39" s="80"/>
      <x:c r="E39" s="80"/>
      <x:c r="F39" s="80"/>
      <x:c r="G39" s="80"/>
      <x:c r="H39" s="80"/>
      <x:c r="I39" s="80"/>
      <x:c r="J39" s="80"/>
      <x:c r="K39" s="80"/>
      <x:c r="L39" s="80"/>
      <x:c r="M39" s="80"/>
      <x:c r="N39" s="80"/>
      <x:c r="O39" s="80"/>
      <x:c r="P39" s="80"/>
      <x:c r="Q39" s="80"/>
      <x:c r="R39" s="80"/>
      <x:c r="S39" s="80"/>
      <x:c r="T39" s="80"/>
      <x:c r="U39" s="80"/>
      <x:c r="V39" s="80"/>
      <x:c r="W39" s="80"/>
      <x:c r="X39" s="80"/>
      <x:c r="Y39" s="80"/>
      <x:c r="Z39" s="80"/>
      <x:c r="AA39" s="80"/>
      <x:c r="AB39" s="80"/>
      <x:c r="AC39" s="80"/>
      <x:c r="AD39" s="80"/>
      <x:c r="AE39" s="80"/>
      <x:c r="AF39" s="80"/>
      <x:c r="AG39" s="80"/>
      <x:c r="AH39" s="80"/>
      <x:c r="AI39" s="80"/>
      <x:c r="AJ39" s="80"/>
      <x:c r="AK39" s="80"/>
    </x:row>
    <x:row r="40">
      <x:c r="A40" s="85"/>
      <x:c r="B40" s="80"/>
      <x:c r="C40" s="80"/>
      <x:c r="D40" s="80"/>
      <x:c r="E40" s="80"/>
      <x:c r="F40" s="80"/>
      <x:c r="G40" s="80"/>
      <x:c r="H40" s="80"/>
      <x:c r="I40" s="80"/>
      <x:c r="J40" s="80"/>
      <x:c r="K40" s="80"/>
      <x:c r="L40" s="80"/>
      <x:c r="M40" s="80"/>
      <x:c r="N40" s="80"/>
      <x:c r="O40" s="80"/>
      <x:c r="P40" s="80"/>
      <x:c r="Q40" s="80"/>
      <x:c r="R40" s="80"/>
      <x:c r="S40" s="80"/>
      <x:c r="T40" s="80"/>
      <x:c r="U40" s="80"/>
      <x:c r="V40" s="80"/>
      <x:c r="W40" s="80"/>
      <x:c r="X40" s="80"/>
      <x:c r="Y40" s="80"/>
      <x:c r="Z40" s="80"/>
      <x:c r="AA40" s="80"/>
      <x:c r="AB40" s="80"/>
      <x:c r="AC40" s="80"/>
      <x:c r="AD40" s="80"/>
      <x:c r="AE40" s="80"/>
      <x:c r="AF40" s="80"/>
      <x:c r="AG40" s="80"/>
      <x:c r="AH40" s="80"/>
      <x:c r="AI40" s="80"/>
      <x:c r="AJ40" s="80"/>
      <x:c r="AK40" s="80"/>
    </x:row>
    <x:row r="41">
      <x:c r="A41" s="85"/>
      <x:c r="B41" s="80"/>
      <x:c r="C41" s="80"/>
      <x:c r="D41" s="80"/>
      <x:c r="E41" s="80"/>
      <x:c r="F41" s="80"/>
      <x:c r="G41" s="80"/>
      <x:c r="H41" s="80"/>
      <x:c r="I41" s="80"/>
      <x:c r="J41" s="80"/>
      <x:c r="K41" s="80"/>
      <x:c r="L41" s="80"/>
      <x:c r="M41" s="80"/>
      <x:c r="N41" s="80"/>
      <x:c r="O41" s="80"/>
      <x:c r="P41" s="80"/>
      <x:c r="Q41" s="80"/>
      <x:c r="R41" s="80"/>
      <x:c r="S41" s="80"/>
      <x:c r="T41" s="80"/>
      <x:c r="U41" s="80"/>
      <x:c r="V41" s="80"/>
      <x:c r="W41" s="80"/>
      <x:c r="X41" s="80"/>
      <x:c r="Y41" s="80"/>
      <x:c r="Z41" s="80"/>
      <x:c r="AA41" s="80"/>
      <x:c r="AB41" s="80"/>
      <x:c r="AC41" s="80"/>
      <x:c r="AD41" s="80"/>
      <x:c r="AE41" s="80"/>
      <x:c r="AF41" s="80"/>
      <x:c r="AG41" s="80"/>
      <x:c r="AH41" s="80"/>
      <x:c r="AI41" s="80"/>
      <x:c r="AJ41" s="80"/>
      <x:c r="AK41" s="80"/>
    </x:row>
    <x:row r="42">
      <x:c r="A42" s="85"/>
      <x:c r="B42" s="80"/>
      <x:c r="C42" s="80"/>
      <x:c r="D42" s="80"/>
      <x:c r="E42" s="80"/>
      <x:c r="F42" s="80"/>
      <x:c r="G42" s="80"/>
      <x:c r="H42" s="80"/>
      <x:c r="I42" s="80"/>
      <x:c r="J42" s="80"/>
      <x:c r="K42" s="80"/>
      <x:c r="L42" s="80"/>
      <x:c r="M42" s="80"/>
      <x:c r="N42" s="80"/>
      <x:c r="O42" s="80"/>
      <x:c r="P42" s="80"/>
      <x:c r="Q42" s="80"/>
      <x:c r="R42" s="80"/>
      <x:c r="S42" s="80"/>
      <x:c r="T42" s="80"/>
      <x:c r="U42" s="80"/>
      <x:c r="V42" s="80"/>
      <x:c r="W42" s="80"/>
      <x:c r="X42" s="80"/>
      <x:c r="Y42" s="80"/>
      <x:c r="Z42" s="80"/>
      <x:c r="AA42" s="80"/>
      <x:c r="AB42" s="80"/>
      <x:c r="AC42" s="80"/>
      <x:c r="AD42" s="80"/>
      <x:c r="AE42" s="80"/>
      <x:c r="AF42" s="80"/>
      <x:c r="AG42" s="80"/>
      <x:c r="AH42" s="80"/>
      <x:c r="AI42" s="80"/>
      <x:c r="AJ42" s="80"/>
      <x:c r="AK42" s="80"/>
    </x:row>
    <x:row r="43">
      <x:c r="A43" s="85"/>
      <x:c r="B43" s="80"/>
      <x:c r="C43" s="80"/>
      <x:c r="D43" s="80"/>
      <x:c r="E43" s="80"/>
      <x:c r="F43" s="80"/>
      <x:c r="G43" s="80"/>
      <x:c r="H43" s="80"/>
      <x:c r="I43" s="80"/>
      <x:c r="J43" s="80"/>
      <x:c r="K43" s="80"/>
      <x:c r="L43" s="80"/>
      <x:c r="M43" s="80"/>
      <x:c r="N43" s="80"/>
      <x:c r="O43" s="80"/>
      <x:c r="P43" s="80"/>
      <x:c r="Q43" s="80"/>
      <x:c r="R43" s="80"/>
      <x:c r="S43" s="80"/>
      <x:c r="T43" s="80"/>
      <x:c r="U43" s="80"/>
      <x:c r="V43" s="80"/>
      <x:c r="W43" s="80"/>
      <x:c r="X43" s="80"/>
      <x:c r="Y43" s="80"/>
      <x:c r="Z43" s="80"/>
      <x:c r="AA43" s="80"/>
      <x:c r="AB43" s="80"/>
      <x:c r="AC43" s="80"/>
      <x:c r="AD43" s="80"/>
      <x:c r="AE43" s="80"/>
      <x:c r="AF43" s="80"/>
      <x:c r="AG43" s="80"/>
      <x:c r="AH43" s="80"/>
      <x:c r="AI43" s="80"/>
      <x:c r="AJ43" s="80"/>
      <x:c r="AK43" s="80"/>
    </x:row>
    <x:row r="44">
      <x:c r="A44" s="85"/>
      <x:c r="B44" s="80"/>
      <x:c r="C44" s="80"/>
      <x:c r="D44" s="80"/>
      <x:c r="E44" s="80"/>
      <x:c r="F44" s="80"/>
      <x:c r="G44" s="80"/>
      <x:c r="H44" s="80"/>
      <x:c r="I44" s="80"/>
      <x:c r="J44" s="80"/>
      <x:c r="K44" s="80"/>
      <x:c r="L44" s="80"/>
      <x:c r="M44" s="80"/>
      <x:c r="N44" s="80"/>
      <x:c r="O44" s="80"/>
      <x:c r="P44" s="80"/>
      <x:c r="Q44" s="80"/>
      <x:c r="R44" s="80"/>
      <x:c r="S44" s="80"/>
      <x:c r="T44" s="80"/>
      <x:c r="U44" s="80"/>
      <x:c r="V44" s="80"/>
      <x:c r="W44" s="80"/>
      <x:c r="X44" s="80"/>
      <x:c r="Y44" s="80"/>
      <x:c r="Z44" s="80"/>
      <x:c r="AA44" s="80"/>
      <x:c r="AB44" s="80"/>
      <x:c r="AC44" s="80"/>
      <x:c r="AD44" s="80"/>
      <x:c r="AE44" s="80"/>
      <x:c r="AF44" s="80"/>
      <x:c r="AG44" s="80"/>
      <x:c r="AH44" s="80"/>
      <x:c r="AI44" s="80"/>
      <x:c r="AJ44" s="80"/>
      <x:c r="AK44" s="80"/>
    </x:row>
    <x:row r="45">
      <x:c r="A45" s="85"/>
      <x:c r="B45" s="80"/>
      <x:c r="C45" s="80"/>
      <x:c r="D45" s="80"/>
      <x:c r="E45" s="80"/>
      <x:c r="F45" s="80"/>
      <x:c r="G45" s="80"/>
      <x:c r="H45" s="80"/>
      <x:c r="I45" s="80"/>
      <x:c r="J45" s="80"/>
      <x:c r="K45" s="80"/>
      <x:c r="L45" s="80"/>
      <x:c r="M45" s="80"/>
      <x:c r="N45" s="80"/>
      <x:c r="O45" s="80"/>
      <x:c r="P45" s="80"/>
      <x:c r="Q45" s="80"/>
      <x:c r="R45" s="80"/>
      <x:c r="S45" s="80"/>
      <x:c r="T45" s="80"/>
      <x:c r="U45" s="80"/>
      <x:c r="V45" s="80"/>
      <x:c r="W45" s="80"/>
      <x:c r="X45" s="80"/>
      <x:c r="Y45" s="80"/>
      <x:c r="Z45" s="80"/>
      <x:c r="AA45" s="80"/>
      <x:c r="AB45" s="80"/>
      <x:c r="AC45" s="80"/>
      <x:c r="AD45" s="80"/>
      <x:c r="AE45" s="80"/>
      <x:c r="AF45" s="80"/>
      <x:c r="AG45" s="80"/>
      <x:c r="AH45" s="80"/>
      <x:c r="AI45" s="80"/>
      <x:c r="AJ45" s="80"/>
      <x:c r="AK45" s="80"/>
    </x:row>
    <x:row r="46">
      <x:c r="A46" s="85"/>
      <x:c r="B46" s="80"/>
      <x:c r="C46" s="80"/>
      <x:c r="D46" s="80"/>
      <x:c r="E46" s="80"/>
      <x:c r="F46" s="80"/>
      <x:c r="G46" s="80"/>
      <x:c r="H46" s="80"/>
      <x:c r="I46" s="80"/>
      <x:c r="J46" s="80"/>
      <x:c r="K46" s="80"/>
      <x:c r="L46" s="80"/>
      <x:c r="M46" s="80"/>
      <x:c r="N46" s="80"/>
      <x:c r="O46" s="80"/>
      <x:c r="P46" s="80"/>
      <x:c r="Q46" s="80"/>
      <x:c r="R46" s="80"/>
      <x:c r="S46" s="80"/>
      <x:c r="T46" s="80"/>
      <x:c r="U46" s="80"/>
      <x:c r="V46" s="80"/>
      <x:c r="W46" s="80"/>
      <x:c r="X46" s="80"/>
      <x:c r="Y46" s="80"/>
      <x:c r="Z46" s="80"/>
      <x:c r="AA46" s="80"/>
      <x:c r="AB46" s="80"/>
      <x:c r="AC46" s="80"/>
      <x:c r="AD46" s="80"/>
      <x:c r="AE46" s="80"/>
      <x:c r="AF46" s="80"/>
      <x:c r="AG46" s="80"/>
      <x:c r="AH46" s="80"/>
      <x:c r="AI46" s="80"/>
      <x:c r="AJ46" s="80"/>
      <x:c r="AK46" s="80"/>
    </x:row>
    <x:row r="47">
      <x:c r="A47" s="85"/>
      <x:c r="B47" s="80"/>
      <x:c r="C47" s="80"/>
      <x:c r="D47" s="80"/>
      <x:c r="E47" s="80"/>
      <x:c r="F47" s="80"/>
      <x:c r="G47" s="80"/>
      <x:c r="H47" s="80"/>
      <x:c r="I47" s="80"/>
      <x:c r="J47" s="80"/>
      <x:c r="K47" s="80"/>
      <x:c r="L47" s="80"/>
      <x:c r="M47" s="80"/>
      <x:c r="N47" s="80"/>
      <x:c r="O47" s="80"/>
      <x:c r="P47" s="80"/>
      <x:c r="Q47" s="80"/>
      <x:c r="R47" s="80"/>
      <x:c r="S47" s="80"/>
      <x:c r="T47" s="80"/>
      <x:c r="U47" s="80"/>
      <x:c r="V47" s="80"/>
      <x:c r="W47" s="80"/>
      <x:c r="X47" s="80"/>
      <x:c r="Y47" s="80"/>
      <x:c r="Z47" s="80"/>
      <x:c r="AA47" s="80"/>
      <x:c r="AB47" s="80"/>
      <x:c r="AC47" s="80"/>
      <x:c r="AD47" s="80"/>
      <x:c r="AE47" s="80"/>
      <x:c r="AF47" s="80"/>
      <x:c r="AG47" s="80"/>
      <x:c r="AH47" s="80"/>
      <x:c r="AI47" s="80"/>
      <x:c r="AJ47" s="80"/>
      <x:c r="AK47" s="80"/>
    </x:row>
    <x:row r="48">
      <x:c r="A48" s="85"/>
      <x:c r="B48" s="80"/>
      <x:c r="C48" s="80"/>
      <x:c r="D48" s="80"/>
      <x:c r="E48" s="80"/>
      <x:c r="F48" s="80"/>
      <x:c r="G48" s="80"/>
      <x:c r="H48" s="80"/>
      <x:c r="I48" s="80"/>
      <x:c r="J48" s="80"/>
      <x:c r="K48" s="80"/>
      <x:c r="L48" s="80"/>
      <x:c r="M48" s="80"/>
      <x:c r="N48" s="80"/>
      <x:c r="O48" s="80"/>
      <x:c r="P48" s="80"/>
      <x:c r="Q48" s="80"/>
      <x:c r="R48" s="80"/>
      <x:c r="S48" s="80"/>
      <x:c r="T48" s="80"/>
      <x:c r="U48" s="80"/>
      <x:c r="V48" s="80"/>
      <x:c r="W48" s="80"/>
      <x:c r="X48" s="80"/>
      <x:c r="Y48" s="80"/>
      <x:c r="Z48" s="80"/>
      <x:c r="AA48" s="80"/>
      <x:c r="AB48" s="80"/>
      <x:c r="AC48" s="80"/>
      <x:c r="AD48" s="80"/>
      <x:c r="AE48" s="80"/>
      <x:c r="AF48" s="80"/>
      <x:c r="AG48" s="80"/>
      <x:c r="AH48" s="80"/>
      <x:c r="AI48" s="80"/>
      <x:c r="AJ48" s="80"/>
      <x:c r="AK48" s="80"/>
    </x:row>
    <x:row r="49">
      <x:c r="A49" s="85"/>
      <x:c r="B49" s="80"/>
      <x:c r="C49" s="80"/>
      <x:c r="D49" s="80"/>
      <x:c r="E49" s="80"/>
      <x:c r="F49" s="80"/>
      <x:c r="G49" s="80"/>
      <x:c r="H49" s="80"/>
      <x:c r="I49" s="80"/>
      <x:c r="J49" s="80"/>
      <x:c r="K49" s="80"/>
      <x:c r="L49" s="80"/>
      <x:c r="M49" s="80"/>
      <x:c r="N49" s="80"/>
      <x:c r="O49" s="80"/>
      <x:c r="P49" s="80"/>
      <x:c r="Q49" s="80"/>
      <x:c r="R49" s="80"/>
      <x:c r="S49" s="80"/>
      <x:c r="T49" s="80"/>
      <x:c r="U49" s="80"/>
      <x:c r="V49" s="80"/>
      <x:c r="W49" s="80"/>
      <x:c r="X49" s="80"/>
      <x:c r="Y49" s="80"/>
      <x:c r="Z49" s="80"/>
      <x:c r="AA49" s="80"/>
      <x:c r="AB49" s="80"/>
      <x:c r="AC49" s="80"/>
      <x:c r="AD49" s="80"/>
      <x:c r="AE49" s="80"/>
      <x:c r="AF49" s="80"/>
      <x:c r="AG49" s="80"/>
      <x:c r="AH49" s="80"/>
      <x:c r="AI49" s="80"/>
      <x:c r="AJ49" s="80"/>
      <x:c r="AK49" s="80"/>
    </x:row>
    <x:row r="50">
      <x:c r="A50" s="85"/>
      <x:c r="B50" s="80"/>
      <x:c r="C50" s="80"/>
      <x:c r="D50" s="80"/>
      <x:c r="E50" s="80"/>
      <x:c r="F50" s="80"/>
      <x:c r="G50" s="80"/>
      <x:c r="H50" s="80"/>
      <x:c r="I50" s="80"/>
      <x:c r="J50" s="80"/>
      <x:c r="K50" s="80"/>
      <x:c r="L50" s="80"/>
      <x:c r="M50" s="80"/>
      <x:c r="N50" s="80"/>
      <x:c r="O50" s="80"/>
      <x:c r="P50" s="80"/>
      <x:c r="Q50" s="80"/>
      <x:c r="R50" s="80"/>
      <x:c r="S50" s="80"/>
      <x:c r="T50" s="80"/>
      <x:c r="U50" s="80"/>
      <x:c r="V50" s="80"/>
      <x:c r="W50" s="80"/>
      <x:c r="X50" s="80"/>
      <x:c r="Y50" s="80"/>
      <x:c r="Z50" s="80"/>
      <x:c r="AA50" s="80"/>
      <x:c r="AB50" s="80"/>
      <x:c r="AC50" s="80"/>
      <x:c r="AD50" s="80"/>
      <x:c r="AE50" s="80"/>
      <x:c r="AF50" s="80"/>
      <x:c r="AG50" s="80"/>
      <x:c r="AH50" s="80"/>
      <x:c r="AI50" s="80"/>
      <x:c r="AJ50" s="80"/>
      <x:c r="AK50" s="80"/>
    </x:row>
    <x:row r="51">
      <x:c r="A51" s="85"/>
      <x:c r="B51" s="80"/>
      <x:c r="C51" s="80"/>
      <x:c r="D51" s="80"/>
      <x:c r="E51" s="80"/>
      <x:c r="F51" s="80"/>
      <x:c r="G51" s="80"/>
      <x:c r="H51" s="80"/>
      <x:c r="I51" s="80"/>
      <x:c r="J51" s="80"/>
      <x:c r="K51" s="80"/>
      <x:c r="L51" s="80"/>
      <x:c r="M51" s="80"/>
      <x:c r="N51" s="80"/>
      <x:c r="O51" s="80"/>
      <x:c r="P51" s="80"/>
      <x:c r="Q51" s="80"/>
      <x:c r="R51" s="80"/>
      <x:c r="S51" s="80"/>
      <x:c r="T51" s="80"/>
      <x:c r="U51" s="80"/>
      <x:c r="V51" s="80"/>
      <x:c r="W51" s="80"/>
      <x:c r="X51" s="80"/>
      <x:c r="Y51" s="80"/>
      <x:c r="Z51" s="80"/>
      <x:c r="AA51" s="80"/>
      <x:c r="AB51" s="80"/>
      <x:c r="AC51" s="80"/>
      <x:c r="AD51" s="80"/>
      <x:c r="AE51" s="80"/>
      <x:c r="AF51" s="80"/>
      <x:c r="AG51" s="80"/>
      <x:c r="AH51" s="80"/>
      <x:c r="AI51" s="80"/>
      <x:c r="AJ51" s="80"/>
      <x:c r="AK51" s="80"/>
    </x:row>
    <x:row r="52">
      <x:c r="A52" s="85"/>
      <x:c r="B52" s="80"/>
      <x:c r="C52" s="80"/>
      <x:c r="D52" s="80"/>
      <x:c r="E52" s="80"/>
      <x:c r="F52" s="80"/>
      <x:c r="G52" s="80"/>
      <x:c r="H52" s="80"/>
      <x:c r="I52" s="80"/>
      <x:c r="J52" s="80"/>
      <x:c r="K52" s="80"/>
      <x:c r="L52" s="80"/>
      <x:c r="M52" s="80"/>
      <x:c r="N52" s="80"/>
      <x:c r="O52" s="80"/>
      <x:c r="P52" s="80"/>
      <x:c r="Q52" s="80"/>
      <x:c r="R52" s="80"/>
      <x:c r="S52" s="80"/>
      <x:c r="T52" s="80"/>
      <x:c r="U52" s="80"/>
      <x:c r="V52" s="80"/>
      <x:c r="W52" s="80"/>
      <x:c r="X52" s="80"/>
      <x:c r="Y52" s="80"/>
      <x:c r="Z52" s="80"/>
      <x:c r="AA52" s="80"/>
      <x:c r="AB52" s="80"/>
      <x:c r="AC52" s="80"/>
      <x:c r="AD52" s="80"/>
      <x:c r="AE52" s="80"/>
      <x:c r="AF52" s="80"/>
      <x:c r="AG52" s="80"/>
      <x:c r="AH52" s="80"/>
      <x:c r="AI52" s="80"/>
      <x:c r="AJ52" s="80"/>
      <x:c r="AK52" s="80"/>
    </x:row>
    <x:row r="53">
      <x:c r="A53" s="85"/>
      <x:c r="B53" s="80"/>
      <x:c r="C53" s="80"/>
      <x:c r="D53" s="80"/>
      <x:c r="E53" s="80"/>
      <x:c r="F53" s="80"/>
      <x:c r="G53" s="80"/>
      <x:c r="H53" s="80"/>
      <x:c r="I53" s="80"/>
      <x:c r="J53" s="80"/>
      <x:c r="K53" s="80"/>
      <x:c r="L53" s="80"/>
      <x:c r="M53" s="80"/>
      <x:c r="N53" s="80"/>
      <x:c r="O53" s="80"/>
      <x:c r="P53" s="80"/>
      <x:c r="Q53" s="80"/>
      <x:c r="R53" s="80"/>
      <x:c r="S53" s="80"/>
      <x:c r="T53" s="80"/>
      <x:c r="U53" s="80"/>
      <x:c r="V53" s="80"/>
      <x:c r="W53" s="80"/>
      <x:c r="X53" s="80"/>
      <x:c r="Y53" s="80"/>
      <x:c r="Z53" s="80"/>
      <x:c r="AA53" s="80"/>
      <x:c r="AB53" s="80"/>
      <x:c r="AC53" s="80"/>
      <x:c r="AD53" s="80"/>
      <x:c r="AE53" s="80"/>
      <x:c r="AF53" s="80"/>
      <x:c r="AG53" s="80"/>
      <x:c r="AH53" s="80"/>
      <x:c r="AI53" s="80"/>
      <x:c r="AJ53" s="80"/>
      <x:c r="AK53" s="80"/>
    </x:row>
    <x:row r="54">
      <x:c r="A54" s="85"/>
      <x:c r="B54" s="80"/>
      <x:c r="C54" s="80"/>
      <x:c r="D54" s="80"/>
      <x:c r="E54" s="80"/>
      <x:c r="F54" s="80"/>
      <x:c r="G54" s="80"/>
      <x:c r="H54" s="80"/>
      <x:c r="I54" s="80"/>
      <x:c r="J54" s="80"/>
      <x:c r="K54" s="80"/>
      <x:c r="L54" s="80"/>
      <x:c r="M54" s="80"/>
      <x:c r="N54" s="80"/>
      <x:c r="O54" s="80"/>
      <x:c r="P54" s="80"/>
      <x:c r="Q54" s="80"/>
      <x:c r="R54" s="80"/>
      <x:c r="S54" s="80"/>
      <x:c r="T54" s="80"/>
      <x:c r="U54" s="80"/>
      <x:c r="V54" s="80"/>
      <x:c r="W54" s="80"/>
      <x:c r="X54" s="80"/>
      <x:c r="Y54" s="80"/>
      <x:c r="Z54" s="80"/>
      <x:c r="AA54" s="80"/>
      <x:c r="AB54" s="80"/>
      <x:c r="AC54" s="80"/>
      <x:c r="AD54" s="80"/>
      <x:c r="AE54" s="80"/>
      <x:c r="AF54" s="80"/>
      <x:c r="AG54" s="80"/>
      <x:c r="AH54" s="80"/>
      <x:c r="AI54" s="80"/>
      <x:c r="AJ54" s="80"/>
      <x:c r="AK54" s="80"/>
    </x:row>
    <x:row r="55">
      <x:c r="A55" s="85"/>
      <x:c r="B55" s="80"/>
      <x:c r="C55" s="80"/>
      <x:c r="D55" s="80"/>
      <x:c r="E55" s="80"/>
      <x:c r="F55" s="80"/>
      <x:c r="G55" s="80"/>
      <x:c r="H55" s="80"/>
      <x:c r="I55" s="80"/>
      <x:c r="J55" s="80"/>
      <x:c r="K55" s="80"/>
      <x:c r="L55" s="80"/>
      <x:c r="M55" s="80"/>
      <x:c r="N55" s="80"/>
      <x:c r="O55" s="80"/>
      <x:c r="P55" s="80"/>
      <x:c r="Q55" s="80"/>
      <x:c r="R55" s="80"/>
      <x:c r="S55" s="80"/>
      <x:c r="T55" s="80"/>
      <x:c r="U55" s="80"/>
      <x:c r="V55" s="80"/>
      <x:c r="W55" s="80"/>
      <x:c r="X55" s="80"/>
      <x:c r="Y55" s="80"/>
      <x:c r="Z55" s="80"/>
      <x:c r="AA55" s="80"/>
      <x:c r="AB55" s="80"/>
      <x:c r="AC55" s="80"/>
      <x:c r="AD55" s="80"/>
      <x:c r="AE55" s="80"/>
      <x:c r="AF55" s="80"/>
      <x:c r="AG55" s="80"/>
      <x:c r="AH55" s="80"/>
      <x:c r="AI55" s="80"/>
      <x:c r="AJ55" s="80"/>
      <x:c r="AK55" s="80"/>
    </x:row>
    <x:row r="56">
      <x:c r="A56" s="85"/>
      <x:c r="B56" s="80"/>
      <x:c r="C56" s="80"/>
      <x:c r="D56" s="80"/>
      <x:c r="E56" s="80"/>
      <x:c r="F56" s="80"/>
      <x:c r="G56" s="80"/>
      <x:c r="H56" s="80"/>
      <x:c r="I56" s="80"/>
      <x:c r="J56" s="80"/>
      <x:c r="K56" s="80"/>
      <x:c r="L56" s="80"/>
      <x:c r="M56" s="80"/>
      <x:c r="N56" s="80"/>
      <x:c r="O56" s="80"/>
      <x:c r="P56" s="80"/>
      <x:c r="Q56" s="80"/>
      <x:c r="R56" s="80"/>
      <x:c r="S56" s="80"/>
      <x:c r="T56" s="80"/>
      <x:c r="U56" s="80"/>
      <x:c r="V56" s="80"/>
      <x:c r="W56" s="80"/>
      <x:c r="X56" s="80"/>
      <x:c r="Y56" s="80"/>
      <x:c r="Z56" s="80"/>
      <x:c r="AA56" s="80"/>
      <x:c r="AB56" s="80"/>
      <x:c r="AC56" s="80"/>
      <x:c r="AD56" s="80"/>
      <x:c r="AE56" s="80"/>
      <x:c r="AF56" s="80"/>
      <x:c r="AG56" s="80"/>
      <x:c r="AH56" s="80"/>
      <x:c r="AI56" s="80"/>
      <x:c r="AJ56" s="80"/>
      <x:c r="AK56" s="80"/>
    </x:row>
    <x:row r="57">
      <x:c r="A57" s="85"/>
      <x:c r="B57" s="80"/>
      <x:c r="C57" s="80"/>
      <x:c r="D57" s="80"/>
      <x:c r="E57" s="80"/>
      <x:c r="F57" s="80"/>
      <x:c r="G57" s="80"/>
      <x:c r="H57" s="80"/>
      <x:c r="I57" s="80"/>
      <x:c r="J57" s="80"/>
      <x:c r="K57" s="80"/>
      <x:c r="L57" s="80"/>
      <x:c r="M57" s="80"/>
      <x:c r="N57" s="80"/>
      <x:c r="O57" s="80"/>
      <x:c r="P57" s="80"/>
      <x:c r="Q57" s="80"/>
      <x:c r="R57" s="80"/>
      <x:c r="S57" s="80"/>
      <x:c r="T57" s="80"/>
      <x:c r="U57" s="80"/>
      <x:c r="V57" s="80"/>
      <x:c r="W57" s="80"/>
      <x:c r="X57" s="80"/>
      <x:c r="Y57" s="80"/>
      <x:c r="Z57" s="80"/>
      <x:c r="AA57" s="80"/>
      <x:c r="AB57" s="80"/>
      <x:c r="AC57" s="80"/>
      <x:c r="AD57" s="80"/>
      <x:c r="AE57" s="80"/>
      <x:c r="AF57" s="80"/>
      <x:c r="AG57" s="80"/>
      <x:c r="AH57" s="80"/>
      <x:c r="AI57" s="80"/>
      <x:c r="AJ57" s="80"/>
      <x:c r="AK57" s="80"/>
    </x:row>
    <x:row r="58">
      <x:c r="A58" s="85"/>
      <x:c r="B58" s="80"/>
      <x:c r="C58" s="80"/>
      <x:c r="D58" s="80"/>
      <x:c r="E58" s="80"/>
      <x:c r="F58" s="80"/>
      <x:c r="G58" s="80"/>
      <x:c r="H58" s="80"/>
      <x:c r="I58" s="80"/>
      <x:c r="J58" s="80"/>
      <x:c r="K58" s="80"/>
      <x:c r="L58" s="80"/>
      <x:c r="M58" s="80"/>
      <x:c r="N58" s="80"/>
      <x:c r="O58" s="80"/>
      <x:c r="P58" s="80"/>
      <x:c r="Q58" s="80"/>
      <x:c r="R58" s="80"/>
      <x:c r="S58" s="80"/>
      <x:c r="T58" s="80"/>
      <x:c r="U58" s="80"/>
      <x:c r="V58" s="80"/>
      <x:c r="W58" s="80"/>
      <x:c r="X58" s="80"/>
      <x:c r="Y58" s="80"/>
      <x:c r="Z58" s="80"/>
      <x:c r="AA58" s="80"/>
      <x:c r="AB58" s="80"/>
      <x:c r="AC58" s="80"/>
      <x:c r="AD58" s="80"/>
      <x:c r="AE58" s="80"/>
      <x:c r="AF58" s="80"/>
      <x:c r="AG58" s="80"/>
      <x:c r="AH58" s="80"/>
      <x:c r="AI58" s="80"/>
      <x:c r="AJ58" s="80"/>
      <x:c r="AK58" s="80"/>
    </x:row>
    <x:row r="59">
      <x:c r="A59" s="85"/>
      <x:c r="B59" s="80"/>
      <x:c r="C59" s="80"/>
      <x:c r="D59" s="80"/>
      <x:c r="E59" s="80"/>
      <x:c r="F59" s="80"/>
      <x:c r="G59" s="80"/>
      <x:c r="H59" s="80"/>
      <x:c r="I59" s="80"/>
      <x:c r="J59" s="80"/>
      <x:c r="K59" s="80"/>
      <x:c r="L59" s="80"/>
      <x:c r="M59" s="80"/>
      <x:c r="N59" s="80"/>
      <x:c r="O59" s="80"/>
      <x:c r="P59" s="80"/>
      <x:c r="Q59" s="80"/>
      <x:c r="R59" s="80"/>
      <x:c r="S59" s="80"/>
      <x:c r="T59" s="80"/>
      <x:c r="U59" s="80"/>
      <x:c r="V59" s="80"/>
      <x:c r="W59" s="80"/>
      <x:c r="X59" s="80"/>
      <x:c r="Y59" s="80"/>
      <x:c r="Z59" s="80"/>
      <x:c r="AA59" s="80"/>
      <x:c r="AB59" s="80"/>
      <x:c r="AC59" s="80"/>
      <x:c r="AD59" s="80"/>
      <x:c r="AE59" s="80"/>
      <x:c r="AF59" s="80"/>
      <x:c r="AG59" s="80"/>
      <x:c r="AH59" s="80"/>
      <x:c r="AI59" s="80"/>
      <x:c r="AJ59" s="80"/>
      <x:c r="AK59" s="80"/>
    </x:row>
    <x:row r="60">
      <x:c r="A60" s="85"/>
      <x:c r="B60" s="80"/>
      <x:c r="C60" s="80"/>
      <x:c r="D60" s="80"/>
      <x:c r="E60" s="80"/>
      <x:c r="F60" s="80"/>
      <x:c r="G60" s="80"/>
      <x:c r="H60" s="80"/>
      <x:c r="I60" s="80"/>
      <x:c r="J60" s="80"/>
      <x:c r="K60" s="80"/>
      <x:c r="L60" s="80"/>
      <x:c r="M60" s="80"/>
      <x:c r="N60" s="80"/>
      <x:c r="O60" s="80"/>
      <x:c r="P60" s="80"/>
      <x:c r="Q60" s="80"/>
      <x:c r="R60" s="80"/>
      <x:c r="S60" s="80"/>
      <x:c r="T60" s="80"/>
      <x:c r="U60" s="80"/>
      <x:c r="V60" s="80"/>
      <x:c r="W60" s="80"/>
      <x:c r="X60" s="80"/>
      <x:c r="Y60" s="80"/>
      <x:c r="Z60" s="80"/>
      <x:c r="AA60" s="80"/>
      <x:c r="AB60" s="80"/>
      <x:c r="AC60" s="80"/>
      <x:c r="AD60" s="80"/>
      <x:c r="AE60" s="80"/>
      <x:c r="AF60" s="80"/>
      <x:c r="AG60" s="80"/>
      <x:c r="AH60" s="80"/>
      <x:c r="AI60" s="80"/>
      <x:c r="AJ60" s="80"/>
      <x:c r="AK60" s="80"/>
    </x:row>
  </x:sheetData>
  <x:mergeCells>
    <x:mergeCell ref="A1:AK1"/>
  </x:mergeCells>
  <x:conditionalFormatting sqref="B11:AK11">
    <x:cfRule type="cellIs" dxfId="3" priority="1" operator="lessThan">
      <x:formula>'Допущения'!$K$26</x:formula>
    </x:cfRule>
  </x:conditionalFormatting>
  <x:pageMargins left="0.7" right="0.7" top="0.75" bottom="0.75" header="0.3" footer="0.3"/>
  <x:drawing xmlns:r="http://schemas.openxmlformats.org/officeDocument/2006/relationships" r:id="Rc492c39355d348b5"/>
</x:worksheet>
</file>

<file path=xl/worksheets/sheet11.xml><?xml version="1.0" encoding="utf-8"?>
<x:worksheet xmlns:x="http://schemas.openxmlformats.org/spreadsheetml/2006/main">
  <x:sheetFormatPr defaultRowHeight="15"/>
  <x:cols>
    <x:col min="1" max="1" width="42" hidden="0" customWidth="1"/>
    <x:col min="2" max="2" width="17" hidden="0" customWidth="1"/>
    <x:col min="3" max="3" width="17" hidden="0" customWidth="1"/>
    <x:col min="4" max="4" width="17" hidden="0" customWidth="1"/>
    <x:col min="5" max="5" width="48" hidden="0" customWidth="1"/>
    <x:col min="7" max="7" width="32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54" hidden="0" customWidth="1"/>
  </x:cols>
  <x:sheetData>
    <x:row r="1" ht="28" customHeight="1">
      <x:c r="A1" s="94" t="str">
        <x:v>QORSYS — юнит-экономика клиента и экономика масштабирования</x:v>
      </x:c>
      <x:c r="B1" s="94"/>
      <x:c r="C1" s="94"/>
      <x:c r="D1" s="94"/>
      <x:c r="E1" s="94"/>
      <x:c r="F1" s="94"/>
      <x:c r="G1" s="94"/>
      <x:c r="H1" s="94"/>
      <x:c r="I1" s="94"/>
      <x:c r="J1" s="94"/>
      <x:c r="K1" s="94"/>
      <x:c r="L1" s="94"/>
      <x:c r="M1" s="94"/>
      <x:c r="N1" s="94"/>
    </x:row>
    <x:row r="3" ht="26" customHeight="1">
      <x:c r="A3" s="97" t="str">
        <x:v>Сравнение сценариев — экономика одного клиента</x:v>
      </x:c>
      <x:c r="B3" s="97"/>
      <x:c r="C3" s="97"/>
      <x:c r="D3" s="97"/>
      <x:c r="E3" s="97"/>
      <x:c r="G3" s="97" t="str">
        <x:v>Текущий сценарий — ключевые показатели для инвестора</x:v>
      </x:c>
      <x:c r="H3" s="97"/>
      <x:c r="I3" s="97"/>
      <x:c r="J3" s="97"/>
    </x:row>
    <x:row r="4" ht="26" customHeight="1">
      <x:c r="A4" s="97" t="str">
        <x:v>Показатель</x:v>
      </x:c>
      <x:c r="B4" s="97" t="str">
        <x:v>Консервативный</x:v>
      </x:c>
      <x:c r="C4" s="97" t="str">
        <x:v>Базовый</x:v>
      </x:c>
      <x:c r="D4" s="97" t="str">
        <x:v>Целевой</x:v>
      </x:c>
      <x:c r="E4" s="97" t="str">
        <x:v>Комментарий</x:v>
      </x:c>
      <x:c r="G4" s="97" t="str">
        <x:v>Показатель</x:v>
      </x:c>
      <x:c r="H4" s="97" t="str">
        <x:v>Значение</x:v>
      </x:c>
    </x:row>
    <x:row r="5">
      <x:c r="A5" s="32" t="str">
        <x:v>Цена Ядра QORSYS / мес.</x:v>
      </x:c>
      <x:c r="B5" s="101" t="n">
        <x:f>'Допущения'!$C$8</x:f>
        <x:v>225000</x:v>
      </x:c>
      <x:c r="C5" s="101" t="n">
        <x:f>'Допущения'!$D$8</x:f>
        <x:v>250000</x:v>
      </x:c>
      <x:c r="D5" s="101" t="n">
        <x:f>'Допущения'!$E$8</x:f>
        <x:v>250000</x:v>
      </x:c>
      <x:c r="E5" s="32" t="str">
        <x:v>Регулярная цена</x:v>
      </x:c>
      <x:c r="G5" t="str">
        <x:v>Полная стоимость привлечения клиента (CAC)</x:v>
      </x:c>
      <x:c r="H5" s="101" t="n">
        <x:f>CHOOSE('Допущения'!$O$2,B19,C19,D19)</x:f>
        <x:v>690148.3636363634</x:v>
      </x:c>
    </x:row>
    <x:row r="6">
      <x:c r="A6" s="32" t="str">
        <x:v>Прямая стоимость поддержки / мес.</x:v>
      </x:c>
      <x:c r="B6" s="101" t="n">
        <x:f>'Допущения'!$C$19</x:f>
        <x:v>30000</x:v>
      </x:c>
      <x:c r="C6" s="101" t="n">
        <x:f>'Допущения'!$D$19</x:f>
        <x:v>25000</x:v>
      </x:c>
      <x:c r="D6" s="101" t="n">
        <x:f>'Допущения'!$E$19</x:f>
        <x:v>20000</x:v>
      </x:c>
      <x:c r="E6" s="32" t="str">
        <x:v>Прямые расходы на обслуживание одного клиента</x:v>
      </x:c>
      <x:c r="G6" t="str">
        <x:v>Валовая маржа Ядра QORSYS</x:v>
      </x:c>
      <x:c r="H6" s="102" t="n">
        <x:f>CHOOSE('Допущения'!$O$2,B9,C9,D9)</x:f>
        <x:v>0.82</x:v>
      </x:c>
    </x:row>
    <x:row r="7">
      <x:c r="A7" s="32" t="str">
        <x:v>Переменная инфраструктура / мес.</x:v>
      </x:c>
      <x:c r="B7" s="101" t="n">
        <x:f>'Допущения'!$C$21</x:f>
        <x:v>25000</x:v>
      </x:c>
      <x:c r="C7" s="101" t="n">
        <x:f>'Допущения'!$D$21</x:f>
        <x:v>20000</x:v>
      </x:c>
      <x:c r="D7" s="101" t="n">
        <x:f>'Допущения'!$E$21</x:f>
        <x:v>18000</x:v>
      </x:c>
      <x:c r="E7" s="32" t="str">
        <x:v>Переменная серверная/инфраструктурная часть</x:v>
      </x:c>
      <x:c r="G7" t="str">
        <x:v>Валовая маржа первой оптимизации</x:v>
      </x:c>
      <x:c r="H7" s="102" t="n">
        <x:f>CHOOSE('Допущения'!$O$2,B13,C13,D13)</x:f>
        <x:v>0.7666666666666667</x:v>
      </x:c>
    </x:row>
    <x:row r="8">
      <x:c r="A8" s="106" t="str">
        <x:v>Валовая прибыль Ядра / клиент / мес.</x:v>
      </x:c>
      <x:c r="B8" s="107" t="n">
        <x:f>B5-B6-B7</x:f>
        <x:v>170000</x:v>
      </x:c>
      <x:c r="C8" s="107" t="n">
        <x:f>C5-C6-C7</x:f>
        <x:v>205000</x:v>
      </x:c>
      <x:c r="D8" s="107" t="n">
        <x:f>D5-D6-D7</x:f>
        <x:v>212000</x:v>
      </x:c>
      <x:c r="E8" s="106" t="str">
        <x:v>Цена минус поддержка и переменная инфраструктура</x:v>
      </x:c>
      <x:c r="G8" t="str">
        <x:v>Окупаемость стоимости привлечения лицензией</x:v>
      </x:c>
      <x:c r="H8" s="104" t="n">
        <x:f>CHOOSE('Допущения'!$O$2,B20,C20,D20)</x:f>
        <x:v>3.3665773835920167</x:v>
      </x:c>
    </x:row>
    <x:row r="9">
      <x:c r="A9" s="32" t="str">
        <x:v>Валовая маржа Ядра</x:v>
      </x:c>
      <x:c r="B9" s="102" t="n">
        <x:f>IFERROR(B8/B5,0)</x:f>
        <x:v>0.7555555555555555</x:v>
      </x:c>
      <x:c r="C9" s="102" t="n">
        <x:f>IFERROR(C8/C5,0)</x:f>
        <x:v>0.82</x:v>
      </x:c>
      <x:c r="D9" s="102" t="n">
        <x:f>IFERROR(D8/D5,0)</x:f>
        <x:v>0.848</x:v>
      </x:c>
      <x:c r="E9" s="32" t="str">
        <x:v>Валовая прибыль / цена</x:v>
      </x:c>
      <x:c r="G9" t="str">
        <x:v>Покрытие стоимости привлечения первой оптимизацией</x:v>
      </x:c>
      <x:c r="H9" s="105" t="n">
        <x:f>CHOOSE('Допущения'!$O$2,B21,C21,D21)</x:f>
        <x:v>1.666308377434523</x:v>
      </x:c>
    </x:row>
    <x:row r="10">
      <x:c r="A10" s="32" t="str">
        <x:v>Средний чек оптимизации</x:v>
      </x:c>
      <x:c r="B10" s="101" t="n">
        <x:f>'Допущения'!$C$9</x:f>
        <x:v>1200000</x:v>
      </x:c>
      <x:c r="C10" s="101" t="n">
        <x:f>'Допущения'!$D$9</x:f>
        <x:v>1500000</x:v>
      </x:c>
      <x:c r="D10" s="101" t="n">
        <x:f>'Допущения'!$E$9</x:f>
        <x:v>1800000</x:v>
      </x:c>
      <x:c r="E10" s="32" t="str">
        <x:v>Разовый платный проект после аудита</x:v>
      </x:c>
      <x:c r="G10" t="str">
        <x:v>24-месячный вклад / стоимость привлечения</x:v>
      </x:c>
      <x:c r="H10" s="105" t="n">
        <x:f>CHOOSE('Допущения'!$O$2,B24,C24,D24)</x:f>
        <x:v>8.032473023978534</x:v>
      </x:c>
    </x:row>
    <x:row r="11">
      <x:c r="A11" s="32" t="str">
        <x:v>Прямая себестоимость оптимизации</x:v>
      </x:c>
      <x:c r="B11" s="101" t="n">
        <x:f>'Допущения'!$C$18</x:f>
        <x:v>450000</x:v>
      </x:c>
      <x:c r="C11" s="101" t="n">
        <x:f>'Допущения'!$D$18</x:f>
        <x:v>350000</x:v>
      </x:c>
      <x:c r="D11" s="101" t="n">
        <x:f>'Допущения'!$E$18</x:f>
        <x:v>300000</x:v>
      </x:c>
      <x:c r="E11" s="32" t="str">
        <x:v>Прямые затраты на выполнение оптимизации</x:v>
      </x:c>
      <x:c r="G11" t="str">
        <x:v>Валовая прибыль клиента за полный первый год</x:v>
      </x:c>
      <x:c r="H11" s="101" t="n">
        <x:f>CHOOSE('Допущения'!$O$2,B22,C22,D22)</x:f>
        <x:v>3610000</x:v>
      </x:c>
    </x:row>
    <x:row r="12">
      <x:c r="A12" s="106" t="str">
        <x:v>Валовая прибыль первой оптимизации</x:v>
      </x:c>
      <x:c r="B12" s="107" t="n">
        <x:f>B10-B11</x:f>
        <x:v>750000</x:v>
      </x:c>
      <x:c r="C12" s="107" t="n">
        <x:f>C10-C11</x:f>
        <x:v>1150000</x:v>
      </x:c>
      <x:c r="D12" s="107" t="n">
        <x:f>D10-D11</x:f>
        <x:v>1500000</x:v>
      </x:c>
      <x:c r="E12" s="106" t="str">
        <x:v>Чек минус прямая себестоимость</x:v>
      </x:c>
    </x:row>
    <x:row r="13">
      <x:c r="A13" s="32" t="str">
        <x:v>Валовая маржа оптимизации</x:v>
      </x:c>
      <x:c r="B13" s="102" t="n">
        <x:f>IFERROR(B12/B10,0)</x:f>
        <x:v>0.625</x:v>
      </x:c>
      <x:c r="C13" s="102" t="n">
        <x:f>IFERROR(C12/C10,0)</x:f>
        <x:v>0.7666666666666667</x:v>
      </x:c>
      <x:c r="D13" s="102" t="n">
        <x:f>IFERROR(D12/D10,0)</x:f>
        <x:v>0.8333333333333334</x:v>
      </x:c>
      <x:c r="E13" s="32" t="str">
        <x:v>Валовая прибыль оптимизации / чек</x:v>
      </x:c>
    </x:row>
    <x:row r="14" ht="26" customHeight="1">
      <x:c r="A14" s="32" t="str">
        <x:v>Аудиты за год 1</x:v>
      </x:c>
      <x:c r="B14" s="103" t="n">
        <x:f>SUM('План аудитов'!B4:M4)</x:f>
        <x:v>30</x:v>
      </x:c>
      <x:c r="C14" s="103" t="n">
        <x:f>SUM('План аудитов'!B5:M5)</x:f>
        <x:v>50</x:v>
      </x:c>
      <x:c r="D14" s="103" t="n">
        <x:f>SUM('План аудитов'!B6:M6)</x:f>
        <x:v>54</x:v>
      </x:c>
      <x:c r="E14" s="32" t="str">
        <x:v>Драйвер привлечения</x:v>
      </x:c>
      <x:c r="G14" s="97" t="str">
        <x:v>Экономика масштабирования — сколько капитала нужно для новой когорты клиентов</x:v>
      </x:c>
      <x:c r="H14" s="97"/>
      <x:c r="I14" s="97"/>
      <x:c r="J14" s="97"/>
      <x:c r="K14" s="97"/>
      <x:c r="L14" s="97"/>
      <x:c r="M14" s="97"/>
      <x:c r="N14" s="97"/>
    </x:row>
    <x:row r="15" ht="26" customHeight="1">
      <x:c r="A15" s="32" t="str">
        <x:v>Новые клиенты Ядра за год 1</x:v>
      </x:c>
      <x:c r="B15" s="103" t="n">
        <x:f>IF('Допущения'!$C$17=0,SUM('План аудитов'!B4:M4),SUM('План аудитов'!B4:L4))*'Допущения'!$C$5*'Допущения'!$C$6</x:f>
        <x:v>8.19</x:v>
      </x:c>
      <x:c r="C15" s="103" t="n">
        <x:f>IF('Допущения'!$D$17=0,SUM('План аудитов'!B5:M5),SUM('План аудитов'!B5:L5))*'Допущения'!$D$5*'Допущения'!$D$6</x:f>
        <x:v>19.800000000000004</x:v>
      </x:c>
      <x:c r="D15" s="103" t="n">
        <x:f>IF('Допущения'!$E$17=0,SUM('План аудитов'!B6:M6),SUM('План аудитов'!B6:L6))*'Допущения'!$E$5*'Допущения'!$E$6</x:f>
        <x:v>28.080000000000002</x:v>
      </x:c>
      <x:c r="E15" s="32" t="str">
        <x:v>Валовые новые подключения, до оттока</x:v>
      </x:c>
      <x:c r="G15" s="97" t="str">
        <x:v>Новые клиенты</x:v>
      </x:c>
      <x:c r="H15" s="97" t="str">
        <x:v>Полная стоимость привлечения / клиент</x:v>
      </x:c>
      <x:c r="I15" s="97" t="str">
        <x:v>Валовой бюджет привлечения</x:v>
      </x:c>
      <x:c r="J15" s="97" t="str">
        <x:v>Валовая прибыль первой оптимизации / клиент</x:v>
      </x:c>
      <x:c r="K15" s="97" t="str">
        <x:v>Валовая прибыль оптимизаций когорты</x:v>
      </x:c>
      <x:c r="L15" s="97" t="str">
        <x:v>Разница: затраты на привлечение − валовая прибыль оптимизаций</x:v>
      </x:c>
      <x:c r="M15" s="97" t="str">
        <x:v>Годовая валовая прибыль регулярной выручки после полного подключения</x:v>
      </x:c>
      <x:c r="N15" s="97" t="str">
        <x:v>Комментарий</x:v>
      </x:c>
    </x:row>
    <x:row r="16">
      <x:c r="A16" s="32" t="str">
        <x:v>Расходы на продажи и маркетинг за год 1</x:v>
      </x:c>
      <x:c r="B16" s="101" t="n">
        <x:f>3*'Допущения'!$C$22+9*'Допущения'!$C$23</x:f>
        <x:v>5100000</x:v>
      </x:c>
      <x:c r="C16" s="101" t="n">
        <x:f>3*'Допущения'!$D$22+9*'Допущения'!$D$23</x:f>
        <x:v>5850000</x:v>
      </x:c>
      <x:c r="D16" s="101" t="n">
        <x:f>3*'Допущения'!$E$22+9*'Допущения'!$E$23</x:f>
        <x:v>7200000</x:v>
      </x:c>
      <x:c r="E16" s="32" t="str">
        <x:v>Коммерческий бюджет</x:v>
      </x:c>
      <x:c r="G16" s="57" t="n">
        <x:v>10</x:v>
      </x:c>
      <x:c r="H16" s="101" t="n">
        <x:f>$H$5</x:f>
        <x:v>690148.3636363634</x:v>
      </x:c>
      <x:c r="I16" s="101" t="n">
        <x:f>G16*H16</x:f>
        <x:v>6901483.636363634</x:v>
      </x:c>
      <x:c r="J16" s="101" t="n">
        <x:f>CHOOSE('Допущения'!$O$2,B12,C12,D12)</x:f>
        <x:v>1150000</x:v>
      </x:c>
      <x:c r="K16" s="101" t="n">
        <x:f>G16*J16</x:f>
        <x:v>11500000</x:v>
      </x:c>
      <x:c r="L16" s="101" t="n">
        <x:f>I16-K16</x:f>
        <x:v>-4598516.363636366</x:v>
      </x:c>
      <x:c r="M16" s="101" t="n">
        <x:f>G16*12*CHOOSE('Допущения'!$O$2,B8,C8,D8)</x:f>
        <x:v>24600000</x:v>
      </x:c>
      <x:c r="N16" s="32" t="str">
        <x:v>Отрицательная разница означает: при нулевом лаге оплаты валовая прибыль первой оптимизации теоретически перекрывает затраты на привлечение. Не учитывает рост команды и оборотный капитал.</x:v>
      </x:c>
    </x:row>
    <x:row r="17">
      <x:c r="A17" s="32" t="str">
        <x:v>Себестоимость аудитов за год 1</x:v>
      </x:c>
      <x:c r="B17" s="101" t="n">
        <x:f>SUM('План аудитов'!B4:D4)*'Допущения'!$C$10+SUM('План аудитов'!E4:G4)*'Допущения'!$C$10*(1-'Допущения'!$C$11)+SUM('План аудитов'!H4:J4)*'Допущения'!$C$10*(1-'Допущения'!$C$11)^2+SUM('План аудитов'!K4:M4)*'Допущения'!$C$10*(1-'Допущения'!$C$11)^3</x:f>
        <x:v>5479250</x:v>
      </x:c>
      <x:c r="C17" s="101" t="n">
        <x:f>SUM('План аудитов'!B5:D5)*'Допущения'!$D$10+SUM('План аудитов'!E5:G5)*'Допущения'!$D$10*(1-'Допущения'!$D$11)+SUM('План аудитов'!H5:J5)*'Допущения'!$D$10*(1-'Допущения'!$D$11)^2+SUM('План аудитов'!K5:M5)*'Допущения'!$D$10*(1-'Допущения'!$D$11)^3</x:f>
        <x:v>7814937.6</x:v>
      </x:c>
      <x:c r="D17" s="101" t="n">
        <x:f>SUM('План аудитов'!B6:D6)*'Допущения'!$E$10+SUM('План аудитов'!E6:G6)*'Допущения'!$E$10*(1-'Допущения'!$E$11)+SUM('План аудитов'!H6:J6)*'Допущения'!$E$10*(1-'Допущения'!$E$11)^2+SUM('План аудитов'!K6:M6)*'Допущения'!$E$10*(1-'Допущения'!$E$11)^3</x:f>
        <x:v>6756600</x:v>
      </x:c>
      <x:c r="E17" s="32" t="str">
        <x:v>Стоимость всех бесплатных аудитов</x:v>
      </x:c>
      <x:c r="G17" s="57" t="n">
        <x:v>50</x:v>
      </x:c>
      <x:c r="H17" s="101" t="n">
        <x:f>$H$5</x:f>
        <x:v>690148.3636363634</x:v>
      </x:c>
      <x:c r="I17" s="101" t="n">
        <x:f>G17*H17</x:f>
        <x:v>34507418.18181817</x:v>
      </x:c>
      <x:c r="J17" s="101" t="n">
        <x:f>CHOOSE('Допущения'!$O$2,B12,C12,D12)</x:f>
        <x:v>1150000</x:v>
      </x:c>
      <x:c r="K17" s="101" t="n">
        <x:f>G17*J17</x:f>
        <x:v>57500000</x:v>
      </x:c>
      <x:c r="L17" s="101" t="n">
        <x:f>I17-K17</x:f>
        <x:v>-22992581.818181828</x:v>
      </x:c>
      <x:c r="M17" s="101" t="n">
        <x:f>G17*12*CHOOSE('Допущения'!$O$2,B8,C8,D8)</x:f>
        <x:v>123000000</x:v>
      </x:c>
      <x:c r="N17" s="32" t="str">
        <x:v>Отрицательная разница означает: при нулевом лаге оплаты валовая прибыль первой оптимизации теоретически перекрывает затраты на привлечение. Не учитывает рост команды и оборотный капитал.</x:v>
      </x:c>
    </x:row>
    <x:row r="18">
      <x:c r="A18" s="32" t="str">
        <x:v>CAC без аудитов</x:v>
      </x:c>
      <x:c r="B18" s="101" t="n">
        <x:f>IFERROR(B16/B15,0)</x:f>
        <x:v>622710.6227106227</x:v>
      </x:c>
      <x:c r="C18" s="101" t="n">
        <x:f>IFERROR(C16/C15,0)</x:f>
        <x:v>295454.5454545454</x:v>
      </x:c>
      <x:c r="D18" s="101" t="n">
        <x:f>IFERROR(D16/D15,0)</x:f>
        <x:v>256410.2564102564</x:v>
      </x:c>
      <x:c r="E18" s="32" t="str">
        <x:v>Продажи и маркетинг / новые Core</x:v>
      </x:c>
      <x:c r="G18" s="57" t="n">
        <x:v>100</x:v>
      </x:c>
      <x:c r="H18" s="101" t="n">
        <x:f>$H$5</x:f>
        <x:v>690148.3636363634</x:v>
      </x:c>
      <x:c r="I18" s="101" t="n">
        <x:f>G18*H18</x:f>
        <x:v>69014836.36363634</x:v>
      </x:c>
      <x:c r="J18" s="101" t="n">
        <x:f>CHOOSE('Допущения'!$O$2,B12,C12,D12)</x:f>
        <x:v>1150000</x:v>
      </x:c>
      <x:c r="K18" s="101" t="n">
        <x:f>G18*J18</x:f>
        <x:v>115000000</x:v>
      </x:c>
      <x:c r="L18" s="101" t="n">
        <x:f>I18-K18</x:f>
        <x:v>-45985163.636363655</x:v>
      </x:c>
      <x:c r="M18" s="101" t="n">
        <x:f>G18*12*CHOOSE('Допущения'!$O$2,B8,C8,D8)</x:f>
        <x:v>246000000</x:v>
      </x:c>
      <x:c r="N18" s="32" t="str">
        <x:v>Отрицательная разница означает: при нулевом лаге оплаты валовая прибыль первой оптимизации теоретически перекрывает затраты на привлечение. Не учитывает рост команды и оборотный капитал.</x:v>
      </x:c>
    </x:row>
    <x:row r="19">
      <x:c r="A19" s="106" t="str">
        <x:v>Полная стоимость привлечения клиента (CAC) с бесплатными аудитами</x:v>
      </x:c>
      <x:c r="B19" s="107" t="n">
        <x:f>IFERROR((B16+B17)/B15,0)</x:f>
        <x:v>1291727.7167277168</x:v>
      </x:c>
      <x:c r="C19" s="107" t="n">
        <x:f>IFERROR((C16+C17)/C15,0)</x:f>
        <x:v>690148.3636363634</x:v>
      </x:c>
      <x:c r="D19" s="107" t="n">
        <x:f>IFERROR((D16+D17)/D15,0)</x:f>
        <x:v>497029.9145299145</x:v>
      </x:c>
      <x:c r="E19" s="106" t="str">
        <x:v>(Продажи + бесплатные аудиты) / новые Core</x:v>
      </x:c>
    </x:row>
    <x:row r="20">
      <x:c r="A20" s="32" t="str">
        <x:v>Окупаемость стоимости привлечения только лицензией</x:v>
      </x:c>
      <x:c r="B20" s="104" t="n">
        <x:f>IFERROR(B19/B8,0)</x:f>
        <x:v>7.598398333692452</x:v>
      </x:c>
      <x:c r="C20" s="104" t="n">
        <x:f>IFERROR(C19/C8,0)</x:f>
        <x:v>3.3665773835920167</x:v>
      </x:c>
      <x:c r="D20" s="104" t="n">
        <x:f>IFERROR(D19/D8,0)</x:f>
        <x:v>2.344480728914691</x:v>
      </x:c>
      <x:c r="E20" s="32" t="str">
        <x:v>Полный CAC / месячная валовая прибыль Core</x:v>
      </x:c>
    </x:row>
    <x:row r="21">
      <x:c r="A21" s="32" t="str">
        <x:v>Покрытие стоимости привлечения валовой прибылью первой оптимизации</x:v>
      </x:c>
      <x:c r="B21" s="105" t="n">
        <x:f>IFERROR(B12/B19,0)</x:f>
        <x:v>0.5806177186473521</x:v>
      </x:c>
      <x:c r="C21" s="105" t="n">
        <x:f>IFERROR(C12/C19,0)</x:f>
        <x:v>1.666308377434523</x:v>
      </x:c>
      <x:c r="D21" s="105" t="n">
        <x:f>IFERROR(D12/D19,0)</x:f>
        <x:v>3.017927002278492</x:v>
      </x:c>
      <x:c r="E21" s="32" t="str">
        <x:v>Первая оптимизация GP / полный CAC</x:v>
      </x:c>
    </x:row>
    <x:row r="22">
      <x:c r="A22" s="32" t="str">
        <x:v>Вклад клиента за 12 мес. после подключения</x:v>
      </x:c>
      <x:c r="B22" s="101" t="n">
        <x:f>B12+12*B8</x:f>
        <x:v>2790000</x:v>
      </x:c>
      <x:c r="C22" s="101" t="n">
        <x:f>C12+12*C8</x:f>
        <x:v>3610000</x:v>
      </x:c>
      <x:c r="D22" s="101" t="n">
        <x:f>D12+12*D8</x:f>
        <x:v>4044000</x:v>
      </x:c>
      <x:c r="E22" s="32" t="str">
        <x:v>Оптимизация GP + 12 месяцев recurring GP</x:v>
      </x:c>
    </x:row>
    <x:row r="23">
      <x:c r="A23" s="106" t="str">
        <x:v>Вклад клиента за 24 мес. с учётом оттока</x:v>
      </x:c>
      <x:c r="B23" s="107" t="n">
        <x:f>B12+IF('Допущения'!$C$7=0,24*B8,B8*(1-(1-'Допущения'!$C$7)^24)/'Допущения'!$C$7)</x:f>
        <x:v>4197870.406440105</x:v>
      </x:c>
      <x:c r="C23" s="107" t="n">
        <x:f>C12+IF('Допущения'!$D$7=0,24*C8,C8*(1-(1-'Допущения'!$D$7)^24)/'Допущения'!$D$7)</x:f>
        <x:v>5543598.113452017</x:v>
      </x:c>
      <x:c r="D23" s="107" t="n">
        <x:f>D12+IF('Допущения'!$E$7=0,24*D8,D8*(1-(1-'Допущения'!$E$7)^24)/'Допущения'!$E$7)</x:f>
        <x:v>6305891.154744539</x:v>
      </x:c>
      <x:c r="E23" s="106" t="str">
        <x:v>Оптимизация GP + recurring GP с survival по churn</x:v>
      </x:c>
    </x:row>
    <x:row r="24">
      <x:c r="A24" s="32" t="str">
        <x:v>24-месячный вклад / стоимость привлечения</x:v>
      </x:c>
      <x:c r="B24" s="105" t="n">
        <x:f>IFERROR(B23/B19,0)</x:f>
        <x:v>3.2498105847526486</x:v>
      </x:c>
      <x:c r="C24" s="105" t="n">
        <x:f>IFERROR(C23/C19,0)</x:f>
        <x:v>8.032473023978534</x:v>
      </x:c>
      <x:c r="D24" s="105" t="n">
        <x:f>IFERROR(D23/D19,0)</x:f>
        <x:v>12.687146126221764</x:v>
      </x:c>
      <x:c r="E24" s="32" t="str">
        <x:v>Более консервативный показатель, чем теоретическая LTV/CAC</x:v>
      </x:c>
    </x:row>
    <x:row r="25">
      <x:c r="A25" s="106" t="str">
        <x:v>Теоретическая пожизненная ценность клиента (LTV) при текущем оттоке</x:v>
      </x:c>
      <x:c r="B25" s="107" t="n">
        <x:f>B12+IF('Допущения'!$C$7=0,120*B8,B8/'Допущения'!$C$7)</x:f>
        <x:v>12083333.333333334</x:v>
      </x:c>
      <x:c r="C25" s="107" t="n">
        <x:f>C12+IF('Допущения'!$D$7=0,120*C8,C8/'Допущения'!$D$7)</x:f>
        <x:v>21650000</x:v>
      </x:c>
      <x:c r="D25" s="107" t="n">
        <x:f>D12+IF('Допущения'!$E$7=0,120*D8,D8/'Допущения'!$E$7)</x:f>
        <x:v>43900000</x:v>
      </x:c>
      <x:c r="E25" s="106" t="str">
        <x:v>Сильно зависит от пока не подтверждённого оттока</x:v>
      </x:c>
    </x:row>
    <x:row r="26">
      <x:c r="A26" s="32" t="str">
        <x:v>Теоретическая LTV / стоимость привлечения</x:v>
      </x:c>
      <x:c r="B26" s="105" t="n">
        <x:f>IFERROR(B25/B19,0)</x:f>
        <x:v>9.35439657820734</x:v>
      </x:c>
      <x:c r="C26" s="105" t="n">
        <x:f>IFERROR(C25/C19,0)</x:f>
        <x:v>31.37006640996298</x:v>
      </x:c>
      <x:c r="D26" s="105" t="n">
        <x:f>IFERROR(D25/D19,0)</x:f>
        <x:v>88.3246636000172</x:v>
      </x:c>
      <x:c r="E26" s="32" t="str">
        <x:v>Не использовать как главный показатель для инвестора до валидации оттока</x:v>
      </x:c>
    </x:row>
    <x:row r="29" ht="26" customHeight="1">
      <x:c r="A29" s="97" t="str">
        <x:v>Интерпретация и ограничения</x:v>
      </x:c>
      <x:c r="B29" s="97"/>
      <x:c r="C29" s="97"/>
      <x:c r="D29" s="97"/>
      <x:c r="E29" s="97"/>
    </x:row>
    <x:row r="30" ht="26" customHeight="1">
      <x:c r="A30" s="97" t="str">
        <x:v>№</x:v>
      </x:c>
      <x:c r="B30" s="97" t="str">
        <x:v>Тезис</x:v>
      </x:c>
      <x:c r="C30" s="97" t="str">
        <x:v>Статус</x:v>
      </x:c>
      <x:c r="D30" s="97" t="str">
        <x:v>Пояснение</x:v>
      </x:c>
    </x:row>
    <x:row r="31">
      <x:c r="A31" s="32" t="str">
        <x:v>1</x:v>
      </x:c>
      <x:c r="B31" s="32" t="str">
        <x:v>Стоимость привлечения включает коммерческий бюджет и себестоимость бесплатных аудитов.</x:v>
      </x:c>
      <x:c r="C31" s="32" t="str">
        <x:v>Да</x:v>
      </x:c>
      <x:c r="D31" s="32" t="str">
        <x:v>Это более строгий показатель, чем стоимость только продаж и маркетинга.</x:v>
      </x:c>
    </x:row>
    <x:row r="32">
      <x:c r="A32" s="32" t="str">
        <x:v>2</x:v>
      </x:c>
      <x:c r="B32" s="32" t="str">
        <x:v>Оптимизация приносит разовую валовую прибыль до подписки.</x:v>
      </x:c>
      <x:c r="C32" s="32" t="str">
        <x:v>Да</x:v>
      </x:c>
      <x:c r="D32" s="32" t="str">
        <x:v>Она существенно снижает фактическую стоимость привлечения клиента.</x:v>
      </x:c>
    </x:row>
    <x:row r="33">
      <x:c r="A33" s="32" t="str">
        <x:v>3</x:v>
      </x:c>
      <x:c r="B33" s="32" t="str">
        <x:v>Отток пока не подтверждён историей.</x:v>
      </x:c>
      <x:c r="C33" s="32" t="str">
        <x:v>Критично</x:v>
      </x:c>
      <x:c r="D33" s="32" t="str">
        <x:v>Теоретические LTV и LTV/CAC нельзя использовать как главный аргумент инвестору до появления когорт.</x:v>
      </x:c>
    </x:row>
    <x:row r="34">
      <x:c r="A34" s="32" t="str">
        <x:v>4</x:v>
      </x:c>
      <x:c r="B34" s="32" t="str">
        <x:v>Лаг оплаты сейчас равен 0 месяцев.</x:v>
      </x:c>
      <x:c r="C34" s="32" t="str">
        <x:v>Критично</x:v>
      </x:c>
      <x:c r="D34" s="32" t="str">
        <x:v>При 30–60 днях оплаты потребуется больше оборотного капитала.</x:v>
      </x:c>
    </x:row>
    <x:row r="35">
      <x:c r="A35" t="str">
        <x:v>5</x:v>
      </x:c>
      <x:c r="B35" t="str">
        <x:v>Масштаб 50–100 клиентов потребует расширения команды.</x:v>
      </x:c>
      <x:c r="C35" t="str">
        <x:v>Критично</x:v>
      </x:c>
      <x:c r="D35" t="str">
        <x:v>Таблица масштабирования выше показывает затраты на привлечение, а не полный план найма.</x:v>
      </x:c>
    </x:row>
  </x:sheetData>
  <x:mergeCells>
    <x:mergeCell ref="A1:N1"/>
    <x:mergeCell ref="A3:E3"/>
    <x:mergeCell ref="G3:J3"/>
    <x:mergeCell ref="G14:N14"/>
    <x:mergeCell ref="A29:E29"/>
  </x:mergeCells>
  <x:conditionalFormatting sqref="B9:D9">
    <x:cfRule type="colorScale" priority="1">
      <x:colorScale>
        <x:cfvo type="min"/>
        <x:cfvo type="percentile" val="50"/>
        <x:cfvo type="max"/>
        <x:color rgb="FFFEE2E2"/>
        <x:color rgb="FFFEF3C7"/>
        <x:color rgb="FFDCFCE7"/>
      </x:colorScale>
    </x:cfRule>
  </x:conditionalFormatting>
  <x:conditionalFormatting sqref="B20:D20">
    <x:cfRule type="colorScale" priority="2">
      <x:colorScale>
        <x:cfvo type="min"/>
        <x:cfvo type="percentile" val="50"/>
        <x:cfvo type="max"/>
        <x:color rgb="FFDCFCE7"/>
        <x:color rgb="FFFEF3C7"/>
        <x:color rgb="FFFEE2E2"/>
      </x:colorScale>
    </x:cfRule>
  </x:conditionalFormatting>
  <x:conditionalFormatting sqref="B21:D21">
    <x:cfRule type="cellIs" dxfId="4" priority="3" operator="lessThan">
      <x:formula>1</x:formula>
    </x:cfRule>
  </x:conditionalFormatting>
  <x:pageMargins left="0.7" right="0.7" top="0.75" bottom="0.75" header="0.3" footer="0.3"/>
</x:worksheet>
</file>

<file path=xl/worksheets/sheet12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18" hidden="0" customWidth="1"/>
    <x:col min="3" max="3" width="18" hidden="0" customWidth="1"/>
    <x:col min="4" max="4" width="18" hidden="0" customWidth="1"/>
    <x:col min="5" max="5" width="20" hidden="0" customWidth="1"/>
    <x:col min="6" max="6" width="48" hidden="0" customWidth="1"/>
    <x:col min="8" max="8" width="34" hidden="0" customWidth="1"/>
    <x:col min="9" max="9" width="19" hidden="0" customWidth="1"/>
    <x:col min="10" max="10" width="19" hidden="0" customWidth="1"/>
    <x:col min="11" max="11" width="19" hidden="0" customWidth="1"/>
    <x:col min="12" max="12" width="19" hidden="0" customWidth="1"/>
    <x:col min="13" max="13" width="19" hidden="0" customWidth="1"/>
    <x:col min="14" max="14" width="48" hidden="0" customWidth="1"/>
  </x:cols>
  <x:sheetData>
    <x:row r="1" ht="28" customHeight="1">
      <x:c r="A1" s="126" t="str">
        <x:v>QORSYS — оценка компании и экономика инвестора</x:v>
      </x:c>
      <x:c r="B1" s="126"/>
      <x:c r="C1" s="126"/>
      <x:c r="D1" s="126"/>
      <x:c r="E1" s="126"/>
      <x:c r="F1" s="126"/>
      <x:c r="G1" s="126"/>
      <x:c r="H1" s="126"/>
      <x:c r="I1" s="126"/>
      <x:c r="J1" s="126"/>
      <x:c r="K1" s="126"/>
      <x:c r="L1" s="126"/>
      <x:c r="M1" s="126"/>
      <x:c r="N1" s="126"/>
    </x:row>
    <x:row r="2">
      <x:c r="A2" s="41"/>
      <x:c r="B2" s="41"/>
      <x:c r="C2" s="41"/>
      <x:c r="D2" s="41"/>
      <x:c r="E2" s="41"/>
      <x:c r="F2" s="41"/>
      <x:c r="G2" s="41"/>
      <x:c r="H2" s="41"/>
      <x:c r="I2" s="41"/>
      <x:c r="J2" s="41"/>
      <x:c r="K2" s="41"/>
      <x:c r="L2" s="41"/>
      <x:c r="M2" s="41"/>
      <x:c r="N2" s="41"/>
    </x:row>
    <x:row r="3" ht="26" customHeight="1">
      <x:c r="A3" s="127" t="str">
        <x:v>Рыночные и инвестиционные допущения</x:v>
      </x:c>
      <x:c r="B3" s="127"/>
      <x:c r="C3" s="127"/>
      <x:c r="D3" s="127"/>
      <x:c r="E3" s="127"/>
      <x:c r="F3" s="127"/>
      <x:c r="G3" s="41"/>
      <x:c r="H3" s="127" t="str">
        <x:v>Раунд и будущая доля инвестора</x:v>
      </x:c>
      <x:c r="I3" s="127"/>
      <x:c r="J3" s="127"/>
      <x:c r="K3" s="127"/>
      <x:c r="L3" s="127"/>
      <x:c r="M3" s="127"/>
      <x:c r="N3" s="127"/>
    </x:row>
    <x:row r="4" ht="26" customHeight="1">
      <x:c r="A4" s="127" t="str">
        <x:v>Параметр</x:v>
      </x:c>
      <x:c r="B4" s="127" t="str">
        <x:v>Консервативный</x:v>
      </x:c>
      <x:c r="C4" s="127" t="str">
        <x:v>Базовый</x:v>
      </x:c>
      <x:c r="D4" s="127" t="str">
        <x:v>Целевой</x:v>
      </x:c>
      <x:c r="E4" s="127" t="str">
        <x:v>Статус</x:v>
      </x:c>
      <x:c r="F4" s="127" t="str">
        <x:v>Источник / комментарий</x:v>
      </x:c>
      <x:c r="G4" s="41"/>
      <x:c r="H4" s="127" t="str">
        <x:v>Параметр</x:v>
      </x:c>
      <x:c r="I4" s="127" t="str">
        <x:v>Значение</x:v>
      </x:c>
      <x:c r="J4" s="127" t="str">
        <x:v>Ед.</x:v>
      </x:c>
      <x:c r="K4" s="127" t="str">
        <x:v>Статус</x:v>
      </x:c>
      <x:c r="L4" s="127" t="str">
        <x:v>Источник</x:v>
      </x:c>
      <x:c r="M4" s="127" t="str">
        <x:v>Примечание</x:v>
      </x:c>
      <x:c r="N4" s="127" t="str">
        <x:v> </x:v>
      </x:c>
    </x:row>
    <x:row r="5">
      <x:c r="A5" s="41" t="str">
        <x:v>Мультипликатор к годовой повторяющейся выручке на 36 месяц</x:v>
      </x:c>
      <x:c r="B5" s="128" t="n">
        <x:v>2</x:v>
      </x:c>
      <x:c r="C5" s="128" t="n">
        <x:v>3</x:v>
      </x:c>
      <x:c r="D5" s="128" t="n">
        <x:v>4</x:v>
      </x:c>
      <x:c r="E5" s="41" t="str">
        <x:v>Допущение модели</x:v>
      </x:c>
      <x:c r="F5" s="32" t="str">
        <x:v>Диапазон округлён вниз от публичных/частных SaaS-ориентиров 2026; учитывает раннюю стадию и географический риск.</x:v>
      </x:c>
      <x:c r="G5" s="41"/>
      <x:c r="H5" s="41" t="str">
        <x:v>Текущая инвестиция</x:v>
      </x:c>
      <x:c r="I5" s="129" t="n">
        <x:v>15000000</x:v>
      </x:c>
      <x:c r="J5" s="41" t="str">
        <x:v>₽</x:v>
      </x:c>
      <x:c r="K5" s="41" t="str">
        <x:v>Подтверждено</x:v>
      </x:c>
      <x:c r="L5" s="41" t="str">
        <x:v>Условия раунда</x:v>
      </x:c>
      <x:c r="M5" s="41" t="str">
        <x:v>15 млн ₽</x:v>
      </x:c>
      <x:c r="N5" s="41"/>
    </x:row>
    <x:row r="6">
      <x:c r="A6" s="41" t="str">
        <x:v>Требуемая годовая доходность инвестора</x:v>
      </x:c>
      <x:c r="B6" s="130" t="n">
        <x:v>0.7</x:v>
      </x:c>
      <x:c r="C6" s="130" t="n">
        <x:v>0.6</x:v>
      </x:c>
      <x:c r="D6" s="130" t="n">
        <x:v>0.5</x:v>
      </x:c>
      <x:c r="E6" s="41" t="str">
        <x:v>Ориентир метода VC</x:v>
      </x:c>
      <x:c r="F6" s="32" t="str">
        <x:v>Damodaran: типичная целевая доходность для startup 50–70% годовых.</x:v>
      </x:c>
      <x:c r="G6" s="41"/>
      <x:c r="H6" s="41" t="str">
        <x:v>Доля инвестора после текущего раунда</x:v>
      </x:c>
      <x:c r="I6" s="130" t="n">
        <x:v>0.1</x:v>
      </x:c>
      <x:c r="J6" s="41" t="str">
        <x:v>%</x:v>
      </x:c>
      <x:c r="K6" s="41" t="str">
        <x:v>Подтверждено</x:v>
      </x:c>
      <x:c r="L6" s="41" t="str">
        <x:v>Условия раунда</x:v>
      </x:c>
      <x:c r="M6" s="41" t="str">
        <x:v>10%</x:v>
      </x:c>
      <x:c r="N6" s="41"/>
    </x:row>
    <x:row r="7">
      <x:c r="A7" s="41" t="str">
        <x:v>Вероятность сценария</x:v>
      </x:c>
      <x:c r="B7" s="130" t="n">
        <x:v>0.5</x:v>
      </x:c>
      <x:c r="C7" s="130" t="n">
        <x:v>0.35</x:v>
      </x:c>
      <x:c r="D7" s="130" t="n">
        <x:v>0.15</x:v>
      </x:c>
      <x:c r="E7" s="41" t="str">
        <x:v>Допущение основателя</x:v>
      </x:c>
      <x:c r="F7" s="32" t="str">
        <x:v>Консервативно смещённое распределение; должно пересматриваться после первых 10–20 аудитов.</x:v>
      </x:c>
      <x:c r="G7" s="41"/>
      <x:c r="H7" s="41" t="str">
        <x:v>Оценка до инвестиций</x:v>
      </x:c>
      <x:c r="I7" s="129" t="n">
        <x:v>135000000</x:v>
      </x:c>
      <x:c r="J7" s="41" t="str">
        <x:v>₽</x:v>
      </x:c>
      <x:c r="K7" s="41" t="str">
        <x:v>Подтверждено</x:v>
      </x:c>
      <x:c r="L7" s="41" t="str">
        <x:v>Условия раунда</x:v>
      </x:c>
      <x:c r="M7" s="41" t="str">
        <x:v>Расчёт: 150 млн post-money − 15 млн</x:v>
      </x:c>
      <x:c r="N7" s="41"/>
    </x:row>
    <x:row r="8">
      <x:c r="A8" s="41"/>
      <x:c r="B8" s="41"/>
      <x:c r="C8" s="41"/>
      <x:c r="D8" s="41"/>
      <x:c r="E8" s="41"/>
      <x:c r="F8" s="41"/>
      <x:c r="G8" s="41"/>
      <x:c r="H8" s="41" t="str">
        <x:v>Оценка после инвестиций</x:v>
      </x:c>
      <x:c r="I8" s="129" t="n">
        <x:v>150000000</x:v>
      </x:c>
      <x:c r="J8" s="41" t="str">
        <x:v>₽</x:v>
      </x:c>
      <x:c r="K8" s="41" t="str">
        <x:v>Подтверждено</x:v>
      </x:c>
      <x:c r="L8" s="41" t="str">
        <x:v>Условия раунда</x:v>
      </x:c>
      <x:c r="M8" s="41" t="str">
        <x:v>15 млн / 10%</x:v>
      </x:c>
      <x:c r="N8" s="41"/>
    </x:row>
    <x:row r="9">
      <x:c r="A9" s="41"/>
      <x:c r="B9" s="41"/>
      <x:c r="C9" s="41"/>
      <x:c r="D9" s="41"/>
      <x:c r="E9" s="41"/>
      <x:c r="F9" s="41"/>
      <x:c r="G9" s="41"/>
      <x:c r="H9" s="41" t="str">
        <x:v>Размытие на следующем раунде</x:v>
      </x:c>
      <x:c r="I9" s="130" t="n">
        <x:v>0.194</x:v>
      </x:c>
      <x:c r="J9" s="41" t="str">
        <x:v>%</x:v>
      </x:c>
      <x:c r="K9" s="41" t="str">
        <x:v>Внешний ориентир</x:v>
      </x:c>
      <x:c r="L9" s="41" t="str">
        <x:v>Carta Q2 2026</x:v>
      </x:c>
      <x:c r="M9" s="41" t="str">
        <x:v>Median Seed dilution 19.4%; США, не прямой аналог РФ</x:v>
      </x:c>
      <x:c r="N9" s="41"/>
    </x:row>
    <x:row r="10">
      <x:c r="A10" s="41"/>
      <x:c r="B10" s="41"/>
      <x:c r="C10" s="41"/>
      <x:c r="D10" s="41"/>
      <x:c r="E10" s="41"/>
      <x:c r="F10" s="41"/>
      <x:c r="G10" s="41"/>
      <x:c r="H10" s="41" t="str">
        <x:v>Размытие на последующем раунде</x:v>
      </x:c>
      <x:c r="I10" s="130" t="n">
        <x:v>0.187</x:v>
      </x:c>
      <x:c r="J10" s="41" t="str">
        <x:v>%</x:v>
      </x:c>
      <x:c r="K10" s="41" t="str">
        <x:v>Внешний ориентир</x:v>
      </x:c>
      <x:c r="L10" s="41" t="str">
        <x:v>Carta Q2 2026</x:v>
      </x:c>
      <x:c r="M10" s="41" t="str">
        <x:v>Median Series A dilution 18.7%; США, не прямой аналог РФ</x:v>
      </x:c>
      <x:c r="N10" s="41"/>
    </x:row>
    <x:row r="11">
      <x:c r="A11" s="41"/>
      <x:c r="B11" s="41"/>
      <x:c r="C11" s="41"/>
      <x:c r="D11" s="41"/>
      <x:c r="E11" s="41"/>
      <x:c r="F11" s="41"/>
      <x:c r="G11" s="41"/>
      <x:c r="H11" s="41" t="str">
        <x:v>Горизонт расчёта</x:v>
      </x:c>
      <x:c r="I11" s="131" t="n">
        <x:v>3</x:v>
      </x:c>
      <x:c r="J11" s="41" t="str">
        <x:v>лет</x:v>
      </x:c>
      <x:c r="K11" s="41" t="str">
        <x:v>Допущение модели</x:v>
      </x:c>
      <x:c r="L11" s="41" t="str">
        <x:v>WORKIT-30.4</x:v>
      </x:c>
      <x:c r="M11" s="41" t="str">
        <x:v>36 месяцев</x:v>
      </x:c>
      <x:c r="N11" s="41"/>
    </x:row>
    <x:row r="12">
      <x:c r="A12" s="41"/>
      <x:c r="B12" s="41"/>
      <x:c r="C12" s="41"/>
      <x:c r="D12" s="41"/>
      <x:c r="E12" s="41"/>
      <x:c r="F12" s="41"/>
      <x:c r="G12" s="41"/>
      <x:c r="H12" s="41"/>
      <x:c r="I12" s="41"/>
      <x:c r="J12" s="41"/>
      <x:c r="K12" s="41"/>
      <x:c r="L12" s="41"/>
      <x:c r="M12" s="41"/>
      <x:c r="N12" s="41"/>
    </x:row>
    <x:row r="13">
      <x:c r="A13" s="41"/>
      <x:c r="B13" s="41"/>
      <x:c r="C13" s="41"/>
      <x:c r="D13" s="41"/>
      <x:c r="E13" s="41"/>
      <x:c r="F13" s="41"/>
      <x:c r="G13" s="41"/>
      <x:c r="H13" s="41"/>
      <x:c r="I13" s="41"/>
      <x:c r="J13" s="41"/>
      <x:c r="K13" s="41"/>
      <x:c r="L13" s="41"/>
      <x:c r="M13" s="41"/>
      <x:c r="N13" s="41"/>
    </x:row>
    <x:row r="14" ht="26" customHeight="1">
      <x:c r="A14" s="127" t="str">
        <x:v>Метод 1 — стоимость на 36 месяц по мультипликатору регулярной выручки</x:v>
      </x:c>
      <x:c r="B14" s="127"/>
      <x:c r="C14" s="127"/>
      <x:c r="D14" s="127"/>
      <x:c r="E14" s="127"/>
      <x:c r="F14" s="127"/>
      <x:c r="G14" s="41"/>
      <x:c r="H14" s="41"/>
      <x:c r="I14" s="127" t="str">
        <x:v>Сопоставление с условиями текущего раунда</x:v>
      </x:c>
      <x:c r="J14" s="127"/>
      <x:c r="K14" s="127"/>
      <x:c r="L14" s="127"/>
      <x:c r="M14" s="127"/>
      <x:c r="N14" s="127"/>
    </x:row>
    <x:row r="15" ht="26" customHeight="1">
      <x:c r="A15" s="127" t="str">
        <x:v>Сценарий</x:v>
      </x:c>
      <x:c r="B15" s="127" t="str">
        <x:v>Активные клиенты, 36 месяц</x:v>
      </x:c>
      <x:c r="C15" s="127" t="str">
        <x:v>Годовая повторяющаяся выручка, 36 месяц, ₽</x:v>
      </x:c>
      <x:c r="D15" s="127" t="str">
        <x:v>Мультипликатор</x:v>
      </x:c>
      <x:c r="E15" s="127" t="str">
        <x:v>Оценка компании на 36 месяц, ₽</x:v>
      </x:c>
      <x:c r="F15" s="127" t="str">
        <x:v>Комментарий</x:v>
      </x:c>
      <x:c r="G15" s="41"/>
      <x:c r="H15" s="41"/>
      <x:c r="I15" s="127" t="str">
        <x:v>Показатель</x:v>
      </x:c>
      <x:c r="J15" s="127" t="str">
        <x:v>Значение</x:v>
      </x:c>
      <x:c r="K15" s="41"/>
      <x:c r="L15" s="41"/>
      <x:c r="M15" s="41"/>
      <x:c r="N15" s="41"/>
    </x:row>
    <x:row r="16">
      <x:c r="A16" s="41" t="str">
        <x:v>Консервативный</x:v>
      </x:c>
      <x:c r="B16" s="132" t="n">
        <x:f>SUM(IF('Допущения'!$C$17=0,'План аудитов'!B4*'Допущения'!$C$5*'Допущения'!$C$6*(1-'Допущения'!$C$7)^35,'План аудитов'!B4*'Допущения'!$C$5*'Допущения'!$C$6*(1-'Допущения'!$C$7)^34),IF('Допущения'!$C$17=0,'План аудитов'!C4*'Допущения'!$C$5*'Допущения'!$C$6*(1-'Допущения'!$C$7)^34,'План аудитов'!C4*'Допущения'!$C$5*'Допущения'!$C$6*(1-'Допущения'!$C$7)^33),IF('Допущения'!$C$17=0,'План аудитов'!D4*'Допущения'!$C$5*'Допущения'!$C$6*(1-'Допущения'!$C$7)^33,'План аудитов'!D4*'Допущения'!$C$5*'Допущения'!$C$6*(1-'Допущения'!$C$7)^32),IF('Допущения'!$C$17=0,'План аудитов'!E4*'Допущения'!$C$5*'Допущения'!$C$6*(1-'Допущения'!$C$7)^32,'План аудитов'!E4*'Допущения'!$C$5*'Допущения'!$C$6*(1-'Допущения'!$C$7)^31),IF('Допущения'!$C$17=0,'План аудитов'!F4*'Допущения'!$C$5*'Допущения'!$C$6*(1-'Допущения'!$C$7)^31,'План аудитов'!F4*'Допущения'!$C$5*'Допущения'!$C$6*(1-'Допущения'!$C$7)^30),IF('Допущения'!$C$17=0,'План аудитов'!G4*'Допущения'!$C$5*'Допущения'!$C$6*(1-'Допущения'!$C$7)^30,'План аудитов'!G4*'Допущения'!$C$5*'Допущения'!$C$6*(1-'Допущения'!$C$7)^29),IF('Допущения'!$C$17=0,'План аудитов'!H4*'Допущения'!$C$5*'Допущения'!$C$6*(1-'Допущения'!$C$7)^29,'План аудитов'!H4*'Допущения'!$C$5*'Допущения'!$C$6*(1-'Допущения'!$C$7)^28),IF('Допущения'!$C$17=0,'План аудитов'!I4*'Допущения'!$C$5*'Допущения'!$C$6*(1-'Допущения'!$C$7)^28,'План аудитов'!I4*'Допущения'!$C$5*'Допущения'!$C$6*(1-'Допущения'!$C$7)^27),IF('Допущения'!$C$17=0,'План аудитов'!J4*'Допущения'!$C$5*'Допущения'!$C$6*(1-'Допущения'!$C$7)^27,'План аудитов'!J4*'Допущения'!$C$5*'Допущения'!$C$6*(1-'Допущения'!$C$7)^26),IF('Допущения'!$C$17=0,'План аудитов'!K4*'Допущения'!$C$5*'Допущения'!$C$6*(1-'Допущения'!$C$7)^26,'План аудитов'!K4*'Допущения'!$C$5*'Допущения'!$C$6*(1-'Допущения'!$C$7)^25),IF('Допущения'!$C$17=0,'План аудитов'!L4*'Допущения'!$C$5*'Допущения'!$C$6*(1-'Допущения'!$C$7)^25,'План аудитов'!L4*'Допущения'!$C$5*'Допущения'!$C$6*(1-'Допущения'!$C$7)^24),IF('Допущения'!$C$17=0,'План аудитов'!M4*'Допущения'!$C$5*'Допущения'!$C$6*(1-'Допущения'!$C$7)^24,'План аудитов'!M4*'Допущения'!$C$5*'Допущения'!$C$6*(1-'Допущения'!$C$7)^23),IF('Допущения'!$C$17=0,'План аудитов'!N4*'Допущения'!$C$5*'Допущения'!$C$6*(1-'Допущения'!$C$7)^23,'План аудитов'!N4*'Допущения'!$C$5*'Допущения'!$C$6*(1-'Допущения'!$C$7)^22),IF('Допущения'!$C$17=0,'План аудитов'!O4*'Допущения'!$C$5*'Допущения'!$C$6*(1-'Допущения'!$C$7)^22,'План аудитов'!O4*'Допущения'!$C$5*'Допущения'!$C$6*(1-'Допущения'!$C$7)^21),IF('Допущения'!$C$17=0,'План аудитов'!P4*'Допущения'!$C$5*'Допущения'!$C$6*(1-'Допущения'!$C$7)^21,'План аудитов'!P4*'Допущения'!$C$5*'Допущения'!$C$6*(1-'Допущения'!$C$7)^20),IF('Допущения'!$C$17=0,'План аудитов'!Q4*'Допущения'!$C$5*'Допущения'!$C$6*(1-'Допущения'!$C$7)^20,'План аудитов'!Q4*'Допущения'!$C$5*'Допущения'!$C$6*(1-'Допущения'!$C$7)^19),IF('Допущения'!$C$17=0,'План аудитов'!R4*'Допущения'!$C$5*'Допущения'!$C$6*(1-'Допущения'!$C$7)^19,'План аудитов'!R4*'Допущения'!$C$5*'Допущения'!$C$6*(1-'Допущения'!$C$7)^18),IF('Допущения'!$C$17=0,'План аудитов'!S4*'Допущения'!$C$5*'Допущения'!$C$6*(1-'Допущения'!$C$7)^18,'План аудитов'!S4*'Допущения'!$C$5*'Допущения'!$C$6*(1-'Допущения'!$C$7)^17),IF('Допущения'!$C$17=0,'План аудитов'!T4*'Допущения'!$C$5*'Допущения'!$C$6*(1-'Допущения'!$C$7)^17,'План аудитов'!T4*'Допущения'!$C$5*'Допущения'!$C$6*(1-'Допущения'!$C$7)^16),IF('Допущения'!$C$17=0,'План аудитов'!U4*'Допущения'!$C$5*'Допущения'!$C$6*(1-'Допущения'!$C$7)^16,'План аудитов'!U4*'Допущения'!$C$5*'Допущения'!$C$6*(1-'Допущения'!$C$7)^15),IF('Допущения'!$C$17=0,'План аудитов'!V4*'Допущения'!$C$5*'Допущения'!$C$6*(1-'Допущения'!$C$7)^15,'План аудитов'!V4*'Допущения'!$C$5*'Допущения'!$C$6*(1-'Допущения'!$C$7)^14),IF('Допущения'!$C$17=0,'План аудитов'!W4*'Допущения'!$C$5*'Допущения'!$C$6*(1-'Допущения'!$C$7)^14,'План аудитов'!W4*'Допущения'!$C$5*'Допущения'!$C$6*(1-'Допущения'!$C$7)^13),IF('Допущения'!$C$17=0,'План аудитов'!X4*'Допущения'!$C$5*'Допущения'!$C$6*(1-'Допущения'!$C$7)^13,'План аудитов'!X4*'Допущения'!$C$5*'Допущения'!$C$6*(1-'Допущения'!$C$7)^12),IF('Допущения'!$C$17=0,'План аудитов'!Y4*'Допущения'!$C$5*'Допущения'!$C$6*(1-'Допущения'!$C$7)^12,'План аудитов'!Y4*'Допущения'!$C$5*'Допущения'!$C$6*(1-'Допущения'!$C$7)^11),IF('Допущения'!$C$17=0,'План аудитов'!Z4*'Допущения'!$C$5*'Допущения'!$C$6*(1-'Допущения'!$C$7)^11,'План аудитов'!Z4*'Допущения'!$C$5*'Допущения'!$C$6*(1-'Допущения'!$C$7)^10),IF('Допущения'!$C$17=0,'План аудитов'!AA4*'Допущения'!$C$5*'Допущения'!$C$6*(1-'Допущения'!$C$7)^10,'План аудитов'!AA4*'Допущения'!$C$5*'Допущения'!$C$6*(1-'Допущения'!$C$7)^9),IF('Допущения'!$C$17=0,'План аудитов'!AB4*'Допущения'!$C$5*'Допущения'!$C$6*(1-'Допущения'!$C$7)^9,'План аудитов'!AB4*'Допущения'!$C$5*'Допущения'!$C$6*(1-'Допущения'!$C$7)^8),IF('Допущения'!$C$17=0,'План аудитов'!AC4*'Допущения'!$C$5*'Допущения'!$C$6*(1-'Допущения'!$C$7)^8,'План аудитов'!AC4*'Допущения'!$C$5*'Допущения'!$C$6*(1-'Допущения'!$C$7)^7),IF('Допущения'!$C$17=0,'План аудитов'!AD4*'Допущения'!$C$5*'Допущения'!$C$6*(1-'Допущения'!$C$7)^7,'План аудитов'!AD4*'Допущения'!$C$5*'Допущения'!$C$6*(1-'Допущения'!$C$7)^6),IF('Допущения'!$C$17=0,'План аудитов'!AE4*'Допущения'!$C$5*'Допущения'!$C$6*(1-'Допущения'!$C$7)^6,'План аудитов'!AE4*'Допущения'!$C$5*'Допущения'!$C$6*(1-'Допущения'!$C$7)^5),IF('Допущения'!$C$17=0,'План аудитов'!AF4*'Допущения'!$C$5*'Допущения'!$C$6*(1-'Допущения'!$C$7)^5,'План аудитов'!AF4*'Допущения'!$C$5*'Допущения'!$C$6*(1-'Допущения'!$C$7)^4),IF('Допущения'!$C$17=0,'План аудитов'!AG4*'Допущения'!$C$5*'Допущения'!$C$6*(1-'Допущения'!$C$7)^4,'План аудитов'!AG4*'Допущения'!$C$5*'Допущения'!$C$6*(1-'Допущения'!$C$7)^3),IF('Допущения'!$C$17=0,'План аудитов'!AH4*'Допущения'!$C$5*'Допущения'!$C$6*(1-'Допущения'!$C$7)^3,'План аудитов'!AH4*'Допущения'!$C$5*'Допущения'!$C$6*(1-'Допущения'!$C$7)^2),IF('Допущения'!$C$17=0,'План аудитов'!AI4*'Допущения'!$C$5*'Допущения'!$C$6*(1-'Допущения'!$C$7)^2,'План аудитов'!AI4*'Допущения'!$C$5*'Допущения'!$C$6*(1-'Допущения'!$C$7)^1),IF('Допущения'!$C$17=0,'План аудитов'!AJ4*'Допущения'!$C$5*'Допущения'!$C$6*(1-'Допущения'!$C$7)^1,'План аудитов'!AJ4*'Допущения'!$C$5*'Допущения'!$C$6*(1-'Допущения'!$C$7)^0),IF('Допущения'!$C$17=0,'План аудитов'!AK4*'Допущения'!$C$5*'Допущения'!$C$6*(1-'Допущения'!$C$7)^0,0))</x:f>
        <x:v>37.335636533882266</x:v>
      </x:c>
      <x:c r="C16" s="133" t="n">
        <x:f>B16*'Допущения'!$C$8*12</x:f>
        <x:v>100806218.64148211</x:v>
      </x:c>
      <x:c r="D16" s="134" t="n">
        <x:f>B5</x:f>
        <x:v>2</x:v>
      </x:c>
      <x:c r="E16" s="133" t="n">
        <x:f>C16*D16</x:f>
        <x:v>201612437.28296423</x:v>
      </x:c>
      <x:c r="F16" s="32" t="str">
        <x:v>Это будущая модельная стоимость при достижении сценария, а не текущая оценка и не обещание выхода.</x:v>
      </x:c>
      <x:c r="G16" s="41"/>
      <x:c r="H16" s="41"/>
      <x:c r="I16" s="41" t="str">
        <x:v>Предлагаемая pre-money оценка</x:v>
      </x:c>
      <x:c r="J16" s="133" t="n">
        <x:f>$I$7</x:f>
        <x:v>135000000</x:v>
      </x:c>
      <x:c r="K16" s="41"/>
      <x:c r="L16" s="41"/>
      <x:c r="M16" s="41"/>
      <x:c r="N16" s="41"/>
    </x:row>
    <x:row r="17">
      <x:c r="A17" s="41" t="str">
        <x:v>Базовый</x:v>
      </x:c>
      <x:c r="B17" s="132" t="n">
        <x:f>SUM(IF('Допущения'!$D$17=0,'План аудитов'!B5*'Допущения'!$D$5*'Допущения'!$D$6*(1-'Допущения'!$D$7)^35,'План аудитов'!B5*'Допущения'!$D$5*'Допущения'!$D$6*(1-'Допущения'!$D$7)^34),IF('Допущения'!$D$17=0,'План аудитов'!C5*'Допущения'!$D$5*'Допущения'!$D$6*(1-'Допущения'!$D$7)^34,'План аудитов'!C5*'Допущения'!$D$5*'Допущения'!$D$6*(1-'Допущения'!$D$7)^33),IF('Допущения'!$D$17=0,'План аудитов'!D5*'Допущения'!$D$5*'Допущения'!$D$6*(1-'Допущения'!$D$7)^33,'План аудитов'!D5*'Допущения'!$D$5*'Допущения'!$D$6*(1-'Допущения'!$D$7)^32),IF('Допущения'!$D$17=0,'План аудитов'!E5*'Допущения'!$D$5*'Допущения'!$D$6*(1-'Допущения'!$D$7)^32,'План аудитов'!E5*'Допущения'!$D$5*'Допущения'!$D$6*(1-'Допущения'!$D$7)^31),IF('Допущения'!$D$17=0,'План аудитов'!F5*'Допущения'!$D$5*'Допущения'!$D$6*(1-'Допущения'!$D$7)^31,'План аудитов'!F5*'Допущения'!$D$5*'Допущения'!$D$6*(1-'Допущения'!$D$7)^30),IF('Допущения'!$D$17=0,'План аудитов'!G5*'Допущения'!$D$5*'Допущения'!$D$6*(1-'Допущения'!$D$7)^30,'План аудитов'!G5*'Допущения'!$D$5*'Допущения'!$D$6*(1-'Допущения'!$D$7)^29),IF('Допущения'!$D$17=0,'План аудитов'!H5*'Допущения'!$D$5*'Допущения'!$D$6*(1-'Допущения'!$D$7)^29,'План аудитов'!H5*'Допущения'!$D$5*'Допущения'!$D$6*(1-'Допущения'!$D$7)^28),IF('Допущения'!$D$17=0,'План аудитов'!I5*'Допущения'!$D$5*'Допущения'!$D$6*(1-'Допущения'!$D$7)^28,'План аудитов'!I5*'Допущения'!$D$5*'Допущения'!$D$6*(1-'Допущения'!$D$7)^27),IF('Допущения'!$D$17=0,'План аудитов'!J5*'Допущения'!$D$5*'Допущения'!$D$6*(1-'Допущения'!$D$7)^27,'План аудитов'!J5*'Допущения'!$D$5*'Допущения'!$D$6*(1-'Допущения'!$D$7)^26),IF('Допущения'!$D$17=0,'План аудитов'!K5*'Допущения'!$D$5*'Допущения'!$D$6*(1-'Допущения'!$D$7)^26,'План аудитов'!K5*'Допущения'!$D$5*'Допущения'!$D$6*(1-'Допущения'!$D$7)^25),IF('Допущения'!$D$17=0,'План аудитов'!L5*'Допущения'!$D$5*'Допущения'!$D$6*(1-'Допущения'!$D$7)^25,'План аудитов'!L5*'Допущения'!$D$5*'Допущения'!$D$6*(1-'Допущения'!$D$7)^24),IF('Допущения'!$D$17=0,'План аудитов'!M5*'Допущения'!$D$5*'Допущения'!$D$6*(1-'Допущения'!$D$7)^24,'План аудитов'!M5*'Допущения'!$D$5*'Допущения'!$D$6*(1-'Допущения'!$D$7)^23),IF('Допущения'!$D$17=0,'План аудитов'!N5*'Допущения'!$D$5*'Допущения'!$D$6*(1-'Допущения'!$D$7)^23,'План аудитов'!N5*'Допущения'!$D$5*'Допущения'!$D$6*(1-'Допущения'!$D$7)^22),IF('Допущения'!$D$17=0,'План аудитов'!O5*'Допущения'!$D$5*'Допущения'!$D$6*(1-'Допущения'!$D$7)^22,'План аудитов'!O5*'Допущения'!$D$5*'Допущения'!$D$6*(1-'Допущения'!$D$7)^21),IF('Допущения'!$D$17=0,'План аудитов'!P5*'Допущения'!$D$5*'Допущения'!$D$6*(1-'Допущения'!$D$7)^21,'План аудитов'!P5*'Допущения'!$D$5*'Допущения'!$D$6*(1-'Допущения'!$D$7)^20),IF('Допущения'!$D$17=0,'План аудитов'!Q5*'Допущения'!$D$5*'Допущения'!$D$6*(1-'Допущения'!$D$7)^20,'План аудитов'!Q5*'Допущения'!$D$5*'Допущения'!$D$6*(1-'Допущения'!$D$7)^19),IF('Допущения'!$D$17=0,'План аудитов'!R5*'Допущения'!$D$5*'Допущения'!$D$6*(1-'Допущения'!$D$7)^19,'План аудитов'!R5*'Допущения'!$D$5*'Допущения'!$D$6*(1-'Допущения'!$D$7)^18),IF('Допущения'!$D$17=0,'План аудитов'!S5*'Допущения'!$D$5*'Допущения'!$D$6*(1-'Допущения'!$D$7)^18,'План аудитов'!S5*'Допущения'!$D$5*'Допущения'!$D$6*(1-'Допущения'!$D$7)^17),IF('Допущения'!$D$17=0,'План аудитов'!T5*'Допущения'!$D$5*'Допущения'!$D$6*(1-'Допущения'!$D$7)^17,'План аудитов'!T5*'Допущения'!$D$5*'Допущения'!$D$6*(1-'Допущения'!$D$7)^16),IF('Допущения'!$D$17=0,'План аудитов'!U5*'Допущения'!$D$5*'Допущения'!$D$6*(1-'Допущения'!$D$7)^16,'План аудитов'!U5*'Допущения'!$D$5*'Допущения'!$D$6*(1-'Допущения'!$D$7)^15),IF('Допущения'!$D$17=0,'План аудитов'!V5*'Допущения'!$D$5*'Допущения'!$D$6*(1-'Допущения'!$D$7)^15,'План аудитов'!V5*'Допущения'!$D$5*'Допущения'!$D$6*(1-'Допущения'!$D$7)^14),IF('Допущения'!$D$17=0,'План аудитов'!W5*'Допущения'!$D$5*'Допущения'!$D$6*(1-'Допущения'!$D$7)^14,'План аудитов'!W5*'Допущения'!$D$5*'Допущения'!$D$6*(1-'Допущения'!$D$7)^13),IF('Допущения'!$D$17=0,'План аудитов'!X5*'Допущения'!$D$5*'Допущения'!$D$6*(1-'Допущения'!$D$7)^13,'План аудитов'!X5*'Допущения'!$D$5*'Допущения'!$D$6*(1-'Допущения'!$D$7)^12),IF('Допущения'!$D$17=0,'План аудитов'!Y5*'Допущения'!$D$5*'Допущения'!$D$6*(1-'Допущения'!$D$7)^12,'План аудитов'!Y5*'Допущения'!$D$5*'Допущения'!$D$6*(1-'Допущения'!$D$7)^11),IF('Допущения'!$D$17=0,'План аудитов'!Z5*'Допущения'!$D$5*'Допущения'!$D$6*(1-'Допущения'!$D$7)^11,'План аудитов'!Z5*'Допущения'!$D$5*'Допущения'!$D$6*(1-'Допущения'!$D$7)^10),IF('Допущения'!$D$17=0,'План аудитов'!AA5*'Допущения'!$D$5*'Допущения'!$D$6*(1-'Допущения'!$D$7)^10,'План аудитов'!AA5*'Допущения'!$D$5*'Допущения'!$D$6*(1-'Допущения'!$D$7)^9),IF('Допущения'!$D$17=0,'План аудитов'!AB5*'Допущения'!$D$5*'Допущения'!$D$6*(1-'Допущения'!$D$7)^9,'План аудитов'!AB5*'Допущения'!$D$5*'Допущения'!$D$6*(1-'Допущения'!$D$7)^8),IF('Допущения'!$D$17=0,'План аудитов'!AC5*'Допущения'!$D$5*'Допущения'!$D$6*(1-'Допущения'!$D$7)^8,'План аудитов'!AC5*'Допущения'!$D$5*'Допущения'!$D$6*(1-'Допущения'!$D$7)^7),IF('Допущения'!$D$17=0,'План аудитов'!AD5*'Допущения'!$D$5*'Допущения'!$D$6*(1-'Допущения'!$D$7)^7,'План аудитов'!AD5*'Допущения'!$D$5*'Допущения'!$D$6*(1-'Допущения'!$D$7)^6),IF('Допущения'!$D$17=0,'План аудитов'!AE5*'Допущения'!$D$5*'Допущения'!$D$6*(1-'Допущения'!$D$7)^6,'План аудитов'!AE5*'Допущения'!$D$5*'Допущения'!$D$6*(1-'Допущения'!$D$7)^5),IF('Допущения'!$D$17=0,'План аудитов'!AF5*'Допущения'!$D$5*'Допущения'!$D$6*(1-'Допущения'!$D$7)^5,'План аудитов'!AF5*'Допущения'!$D$5*'Допущения'!$D$6*(1-'Допущения'!$D$7)^4),IF('Допущения'!$D$17=0,'План аудитов'!AG5*'Допущения'!$D$5*'Допущения'!$D$6*(1-'Допущения'!$D$7)^4,'План аудитов'!AG5*'Допущения'!$D$5*'Допущения'!$D$6*(1-'Допущения'!$D$7)^3),IF('Допущения'!$D$17=0,'План аудитов'!AH5*'Допущения'!$D$5*'Допущения'!$D$6*(1-'Допущения'!$D$7)^3,'План аудитов'!AH5*'Допущения'!$D$5*'Допущения'!$D$6*(1-'Допущения'!$D$7)^2),IF('Допущения'!$D$17=0,'План аудитов'!AI5*'Допущения'!$D$5*'Допущения'!$D$6*(1-'Допущения'!$D$7)^2,'План аудитов'!AI5*'Допущения'!$D$5*'Допущения'!$D$6*(1-'Допущения'!$D$7)^1),IF('Допущения'!$D$17=0,'План аудитов'!AJ5*'Допущения'!$D$5*'Допущения'!$D$6*(1-'Допущения'!$D$7)^1,'План аудитов'!AJ5*'Допущения'!$D$5*'Допущения'!$D$6*(1-'Допущения'!$D$7)^0),IF('Допущения'!$D$17=0,'План аудитов'!AK5*'Допущения'!$D$5*'Допущения'!$D$6*(1-'Допущения'!$D$7)^0,0))</x:f>
        <x:v>89.55899267746626</x:v>
      </x:c>
      <x:c r="C17" s="133" t="n">
        <x:f>B17*'Допущения'!$D$8*12</x:f>
        <x:v>268676978.03239876</x:v>
      </x:c>
      <x:c r="D17" s="134" t="n">
        <x:f>C5</x:f>
        <x:v>3</x:v>
      </x:c>
      <x:c r="E17" s="133" t="n">
        <x:f>C17*D17</x:f>
        <x:v>806030934.0971963</x:v>
      </x:c>
      <x:c r="F17" s="32" t="str">
        <x:v>Это будущая модельная стоимость при достижении сценария, а не текущая оценка и не обещание выхода.</x:v>
      </x:c>
      <x:c r="G17" s="41"/>
      <x:c r="H17" s="41"/>
      <x:c r="I17" s="41" t="str">
        <x:v>Модельная стоимость сегодня, метод 2</x:v>
      </x:c>
      <x:c r="J17" s="133" t="n">
        <x:f>$E$27</x:f>
        <x:v>172089647.78832656</x:v>
      </x:c>
      <x:c r="K17" s="41"/>
      <x:c r="L17" s="41"/>
      <x:c r="M17" s="41"/>
      <x:c r="N17" s="41"/>
    </x:row>
    <x:row r="18">
      <x:c r="A18" s="145" t="str">
        <x:v>Целевой</x:v>
      </x:c>
      <x:c r="B18" s="146" t="n">
        <x:f>SUM(IF('Допущения'!$E$17=0,'План аудитов'!B6*'Допущения'!$E$5*'Допущения'!$E$6*(1-'Допущения'!$E$7)^35,'План аудитов'!B6*'Допущения'!$E$5*'Допущения'!$E$6*(1-'Допущения'!$E$7)^34),IF('Допущения'!$E$17=0,'План аудитов'!C6*'Допущения'!$E$5*'Допущения'!$E$6*(1-'Допущения'!$E$7)^34,'План аудитов'!C6*'Допущения'!$E$5*'Допущения'!$E$6*(1-'Допущения'!$E$7)^33),IF('Допущения'!$E$17=0,'План аудитов'!D6*'Допущения'!$E$5*'Допущения'!$E$6*(1-'Допущения'!$E$7)^33,'План аудитов'!D6*'Допущения'!$E$5*'Допущения'!$E$6*(1-'Допущения'!$E$7)^32),IF('Допущения'!$E$17=0,'План аудитов'!E6*'Допущения'!$E$5*'Допущения'!$E$6*(1-'Допущения'!$E$7)^32,'План аудитов'!E6*'Допущения'!$E$5*'Допущения'!$E$6*(1-'Допущения'!$E$7)^31),IF('Допущения'!$E$17=0,'План аудитов'!F6*'Допущения'!$E$5*'Допущения'!$E$6*(1-'Допущения'!$E$7)^31,'План аудитов'!F6*'Допущения'!$E$5*'Допущения'!$E$6*(1-'Допущения'!$E$7)^30),IF('Допущения'!$E$17=0,'План аудитов'!G6*'Допущения'!$E$5*'Допущения'!$E$6*(1-'Допущения'!$E$7)^30,'План аудитов'!G6*'Допущения'!$E$5*'Допущения'!$E$6*(1-'Допущения'!$E$7)^29),IF('Допущения'!$E$17=0,'План аудитов'!H6*'Допущения'!$E$5*'Допущения'!$E$6*(1-'Допущения'!$E$7)^29,'План аудитов'!H6*'Допущения'!$E$5*'Допущения'!$E$6*(1-'Допущения'!$E$7)^28),IF('Допущения'!$E$17=0,'План аудитов'!I6*'Допущения'!$E$5*'Допущения'!$E$6*(1-'Допущения'!$E$7)^28,'План аудитов'!I6*'Допущения'!$E$5*'Допущения'!$E$6*(1-'Допущения'!$E$7)^27),IF('Допущения'!$E$17=0,'План аудитов'!J6*'Допущения'!$E$5*'Допущения'!$E$6*(1-'Допущения'!$E$7)^27,'План аудитов'!J6*'Допущения'!$E$5*'Допущения'!$E$6*(1-'Допущения'!$E$7)^26),IF('Допущения'!$E$17=0,'План аудитов'!K6*'Допущения'!$E$5*'Допущения'!$E$6*(1-'Допущения'!$E$7)^26,'План аудитов'!K6*'Допущения'!$E$5*'Допущения'!$E$6*(1-'Допущения'!$E$7)^25),IF('Допущения'!$E$17=0,'План аудитов'!L6*'Допущения'!$E$5*'Допущения'!$E$6*(1-'Допущения'!$E$7)^25,'План аудитов'!L6*'Допущения'!$E$5*'Допущения'!$E$6*(1-'Допущения'!$E$7)^24),IF('Допущения'!$E$17=0,'План аудитов'!M6*'Допущения'!$E$5*'Допущения'!$E$6*(1-'Допущения'!$E$7)^24,'План аудитов'!M6*'Допущения'!$E$5*'Допущения'!$E$6*(1-'Допущения'!$E$7)^23),IF('Допущения'!$E$17=0,'План аудитов'!N6*'Допущения'!$E$5*'Допущения'!$E$6*(1-'Допущения'!$E$7)^23,'План аудитов'!N6*'Допущения'!$E$5*'Допущения'!$E$6*(1-'Допущения'!$E$7)^22),IF('Допущения'!$E$17=0,'План аудитов'!O6*'Допущения'!$E$5*'Допущения'!$E$6*(1-'Допущения'!$E$7)^22,'План аудитов'!O6*'Допущения'!$E$5*'Допущения'!$E$6*(1-'Допущения'!$E$7)^21),IF('Допущения'!$E$17=0,'План аудитов'!P6*'Допущения'!$E$5*'Допущения'!$E$6*(1-'Допущения'!$E$7)^21,'План аудитов'!P6*'Допущения'!$E$5*'Допущения'!$E$6*(1-'Допущения'!$E$7)^20),IF('Допущения'!$E$17=0,'План аудитов'!Q6*'Допущения'!$E$5*'Допущения'!$E$6*(1-'Допущения'!$E$7)^20,'План аудитов'!Q6*'Допущения'!$E$5*'Допущения'!$E$6*(1-'Допущения'!$E$7)^19),IF('Допущения'!$E$17=0,'План аудитов'!R6*'Допущения'!$E$5*'Допущения'!$E$6*(1-'Допущения'!$E$7)^19,'План аудитов'!R6*'Допущения'!$E$5*'Допущения'!$E$6*(1-'Допущения'!$E$7)^18),IF('Допущения'!$E$17=0,'План аудитов'!S6*'Допущения'!$E$5*'Допущения'!$E$6*(1-'Допущения'!$E$7)^18,'План аудитов'!S6*'Допущения'!$E$5*'Допущения'!$E$6*(1-'Допущения'!$E$7)^17),IF('Допущения'!$E$17=0,'План аудитов'!T6*'Допущения'!$E$5*'Допущения'!$E$6*(1-'Допущения'!$E$7)^17,'План аудитов'!T6*'Допущения'!$E$5*'Допущения'!$E$6*(1-'Допущения'!$E$7)^16),IF('Допущения'!$E$17=0,'План аудитов'!U6*'Допущения'!$E$5*'Допущения'!$E$6*(1-'Допущения'!$E$7)^16,'План аудитов'!U6*'Допущения'!$E$5*'Допущения'!$E$6*(1-'Допущения'!$E$7)^15),IF('Допущения'!$E$17=0,'План аудитов'!V6*'Допущения'!$E$5*'Допущения'!$E$6*(1-'Допущения'!$E$7)^15,'План аудитов'!V6*'Допущения'!$E$5*'Допущения'!$E$6*(1-'Допущения'!$E$7)^14),IF('Допущения'!$E$17=0,'План аудитов'!W6*'Допущения'!$E$5*'Допущения'!$E$6*(1-'Допущения'!$E$7)^14,'План аудитов'!W6*'Допущения'!$E$5*'Допущения'!$E$6*(1-'Допущения'!$E$7)^13),IF('Допущения'!$E$17=0,'План аудитов'!X6*'Допущения'!$E$5*'Допущения'!$E$6*(1-'Допущения'!$E$7)^13,'План аудитов'!X6*'Допущения'!$E$5*'Допущения'!$E$6*(1-'Допущения'!$E$7)^12),IF('Допущения'!$E$17=0,'План аудитов'!Y6*'Допущения'!$E$5*'Допущения'!$E$6*(1-'Допущения'!$E$7)^12,'План аудитов'!Y6*'Допущения'!$E$5*'Допущения'!$E$6*(1-'Допущения'!$E$7)^11),IF('Допущения'!$E$17=0,'План аудитов'!Z6*'Допущения'!$E$5*'Допущения'!$E$6*(1-'Допущения'!$E$7)^11,'План аудитов'!Z6*'Допущения'!$E$5*'Допущения'!$E$6*(1-'Допущения'!$E$7)^10),IF('Допущения'!$E$17=0,'План аудитов'!AA6*'Допущения'!$E$5*'Допущения'!$E$6*(1-'Допущения'!$E$7)^10,'План аудитов'!AA6*'Допущения'!$E$5*'Допущения'!$E$6*(1-'Допущения'!$E$7)^9),IF('Допущения'!$E$17=0,'План аудитов'!AB6*'Допущения'!$E$5*'Допущения'!$E$6*(1-'Допущения'!$E$7)^9,'План аудитов'!AB6*'Допущения'!$E$5*'Допущения'!$E$6*(1-'Допущения'!$E$7)^8),IF('Допущения'!$E$17=0,'План аудитов'!AC6*'Допущения'!$E$5*'Допущения'!$E$6*(1-'Допущения'!$E$7)^8,'План аудитов'!AC6*'Допущения'!$E$5*'Допущения'!$E$6*(1-'Допущения'!$E$7)^7),IF('Допущения'!$E$17=0,'План аудитов'!AD6*'Допущения'!$E$5*'Допущения'!$E$6*(1-'Допущения'!$E$7)^7,'План аудитов'!AD6*'Допущения'!$E$5*'Допущения'!$E$6*(1-'Допущения'!$E$7)^6),IF('Допущения'!$E$17=0,'План аудитов'!AE6*'Допущения'!$E$5*'Допущения'!$E$6*(1-'Допущения'!$E$7)^6,'План аудитов'!AE6*'Допущения'!$E$5*'Допущения'!$E$6*(1-'Допущения'!$E$7)^5),IF('Допущения'!$E$17=0,'План аудитов'!AF6*'Допущения'!$E$5*'Допущения'!$E$6*(1-'Допущения'!$E$7)^5,'План аудитов'!AF6*'Допущения'!$E$5*'Допущения'!$E$6*(1-'Допущения'!$E$7)^4),IF('Допущения'!$E$17=0,'План аудитов'!AG6*'Допущения'!$E$5*'Допущения'!$E$6*(1-'Допущения'!$E$7)^4,'План аудитов'!AG6*'Допущения'!$E$5*'Допущения'!$E$6*(1-'Допущения'!$E$7)^3),IF('Допущения'!$E$17=0,'План аудитов'!AH6*'Допущения'!$E$5*'Допущения'!$E$6*(1-'Допущения'!$E$7)^3,'План аудитов'!AH6*'Допущения'!$E$5*'Допущения'!$E$6*(1-'Допущения'!$E$7)^2),IF('Допущения'!$E$17=0,'План аудитов'!AI6*'Допущения'!$E$5*'Допущения'!$E$6*(1-'Допущения'!$E$7)^2,'План аудитов'!AI6*'Допущения'!$E$5*'Допущения'!$E$6*(1-'Допущения'!$E$7)^1),IF('Допущения'!$E$17=0,'План аудитов'!AJ6*'Допущения'!$E$5*'Допущения'!$E$6*(1-'Допущения'!$E$7)^1,'План аудитов'!AJ6*'Допущения'!$E$5*'Допущения'!$E$6*(1-'Допущения'!$E$7)^0),IF('Допущения'!$E$17=0,'План аудитов'!AK6*'Допущения'!$E$5*'Допущения'!$E$6*(1-'Допущения'!$E$7)^0,0))</x:f>
        <x:v>155.0562613188273</x:v>
      </x:c>
      <x:c r="C18" s="147" t="n">
        <x:f>B18*'Допущения'!$E$8*12</x:f>
        <x:v>465168783.95648193</x:v>
      </x:c>
      <x:c r="D18" s="148" t="n">
        <x:f>D5</x:f>
        <x:v>4</x:v>
      </x:c>
      <x:c r="E18" s="147" t="n">
        <x:f>C18*D18</x:f>
        <x:v>1860675135.8259277</x:v>
      </x:c>
      <x:c r="F18" s="106" t="str">
        <x:v>Это будущая модельная стоимость при достижении сценария, а не текущая оценка и не обещание выхода.</x:v>
      </x:c>
      <x:c r="G18" s="145"/>
      <x:c r="H18" s="41"/>
      <x:c r="I18" s="41" t="str">
        <x:v>Разница, ₽</x:v>
      </x:c>
      <x:c r="J18" s="133" t="n">
        <x:f>J17-J16</x:f>
        <x:v>37089647.78832656</x:v>
      </x:c>
      <x:c r="K18" s="41"/>
      <x:c r="L18" s="41"/>
      <x:c r="M18" s="41"/>
      <x:c r="N18" s="41"/>
    </x:row>
    <x:row r="19">
      <x:c r="A19" s="41"/>
      <x:c r="B19" s="41"/>
      <x:c r="C19" s="41"/>
      <x:c r="D19" s="41"/>
      <x:c r="E19" s="41"/>
      <x:c r="F19" s="41"/>
      <x:c r="G19" s="41"/>
      <x:c r="H19" s="41"/>
      <x:c r="I19" s="41" t="str">
        <x:v>Разница, %</x:v>
      </x:c>
      <x:c r="J19" s="135" t="n">
        <x:f>IFERROR(J18/J16,0)</x:f>
        <x:v>0.2747381317653819</x:v>
      </x:c>
      <x:c r="K19" s="41"/>
      <x:c r="L19" s="41"/>
      <x:c r="M19" s="41"/>
      <x:c r="N19" s="41"/>
    </x:row>
    <x:row r="20">
      <x:c r="A20" s="41"/>
      <x:c r="B20" s="41"/>
      <x:c r="C20" s="41"/>
      <x:c r="D20" s="41"/>
      <x:c r="E20" s="41"/>
      <x:c r="F20" s="41"/>
      <x:c r="G20" s="41"/>
      <x:c r="H20" s="41"/>
      <x:c r="I20" s="41" t="str">
        <x:v>Предлагаемая post-money оценка</x:v>
      </x:c>
      <x:c r="J20" s="133" t="n">
        <x:f>$I$8</x:f>
        <x:v>150000000</x:v>
      </x:c>
      <x:c r="K20" s="41"/>
      <x:c r="L20" s="41"/>
      <x:c r="M20" s="41"/>
      <x:c r="N20" s="41"/>
    </x:row>
    <x:row r="21" ht="26" customHeight="1">
      <x:c r="A21" s="127" t="str">
        <x:v>Метод 2 — дисконтирование будущей стоимости венчурным методом</x:v>
      </x:c>
      <x:c r="B21" s="127"/>
      <x:c r="C21" s="127"/>
      <x:c r="D21" s="127"/>
      <x:c r="E21" s="127"/>
      <x:c r="F21" s="127"/>
      <x:c r="G21" s="127"/>
      <x:c r="H21" s="41"/>
      <x:c r="I21" s="41"/>
      <x:c r="J21" s="41"/>
      <x:c r="K21" s="41"/>
      <x:c r="L21" s="41"/>
      <x:c r="M21" s="41"/>
      <x:c r="N21" s="41"/>
    </x:row>
    <x:row r="22" ht="26" customHeight="1">
      <x:c r="A22" s="127" t="str">
        <x:v>Сценарий</x:v>
      </x:c>
      <x:c r="B22" s="127" t="str">
        <x:v>Стоимость на 36 месяц, ₽</x:v>
      </x:c>
      <x:c r="C22" s="127" t="str">
        <x:v>Требуемая доходность</x:v>
      </x:c>
      <x:c r="D22" s="127" t="str">
        <x:v>Горизонт, лет</x:v>
      </x:c>
      <x:c r="E22" s="127" t="str">
        <x:v>Расчётная стоимость сегодня до текущего раунда, ₽</x:v>
      </x:c>
      <x:c r="F22" s="127" t="str">
        <x:v>Вероятность</x:v>
      </x:c>
      <x:c r="G22" s="127" t="str">
        <x:v>Взвешенная стоимость, ₽</x:v>
      </x:c>
      <x:c r="H22" s="41"/>
      <x:c r="I22" s="41"/>
      <x:c r="J22" s="41"/>
      <x:c r="K22" s="41"/>
      <x:c r="L22" s="41"/>
      <x:c r="M22" s="41"/>
      <x:c r="N22" s="41"/>
    </x:row>
    <x:row r="23" ht="26" customHeight="1">
      <x:c r="A23" s="136" t="str">
        <x:f>A16</x:f>
        <x:v>Консервативный</x:v>
      </x:c>
      <x:c r="B23" s="137" t="n">
        <x:f>E16</x:f>
        <x:v>201612437.28296423</x:v>
      </x:c>
      <x:c r="C23" s="138" t="n">
        <x:f>B6</x:f>
        <x:v>0.7</x:v>
      </x:c>
      <x:c r="D23" s="139" t="n">
        <x:f>$I$11</x:f>
        <x:v>3</x:v>
      </x:c>
      <x:c r="E23" s="137" t="n">
        <x:f>B23/(1+C23)^D23</x:f>
        <x:v>41036522.95602773</x:v>
      </x:c>
      <x:c r="F23" s="138" t="n">
        <x:f>B7</x:f>
        <x:v>0.5</x:v>
      </x:c>
      <x:c r="G23" s="137" t="n">
        <x:f>E23*F23</x:f>
        <x:v>20518261.478013866</x:v>
      </x:c>
      <x:c r="H23" s="41"/>
      <x:c r="I23" s="127" t="str">
        <x:v>Экономика инвестора с учётом будущего размытия</x:v>
      </x:c>
      <x:c r="J23" s="127"/>
      <x:c r="K23" s="127"/>
      <x:c r="L23" s="127"/>
      <x:c r="M23" s="127"/>
      <x:c r="N23" s="127"/>
    </x:row>
    <x:row r="24" ht="26" customHeight="1">
      <x:c r="A24" s="136" t="str">
        <x:f>A17</x:f>
        <x:v>Базовый</x:v>
      </x:c>
      <x:c r="B24" s="137" t="n">
        <x:f>E17</x:f>
        <x:v>806030934.0971963</x:v>
      </x:c>
      <x:c r="C24" s="138" t="n">
        <x:f>C6</x:f>
        <x:v>0.6</x:v>
      </x:c>
      <x:c r="D24" s="139" t="n">
        <x:f>$I$11</x:f>
        <x:v>3</x:v>
      </x:c>
      <x:c r="E24" s="137" t="n">
        <x:f>B24/(1+C24)^D24</x:f>
        <x:v>196784896.01982328</x:v>
      </x:c>
      <x:c r="F24" s="138" t="n">
        <x:f>C7</x:f>
        <x:v>0.35</x:v>
      </x:c>
      <x:c r="G24" s="137" t="n">
        <x:f>E24*F24</x:f>
        <x:v>68874713.60693814</x:v>
      </x:c>
      <x:c r="H24" s="41"/>
      <x:c r="I24" s="127" t="str">
        <x:v>Этап</x:v>
      </x:c>
      <x:c r="J24" s="127" t="str">
        <x:v>Доля инвестора</x:v>
      </x:c>
      <x:c r="K24" s="127" t="str">
        <x:v>Консервативный: стоимость доли, ₽</x:v>
      </x:c>
      <x:c r="L24" s="127" t="str">
        <x:v>Базовый: стоимость доли, ₽</x:v>
      </x:c>
      <x:c r="M24" s="127" t="str">
        <x:v>Целевой: стоимость доли, ₽</x:v>
      </x:c>
      <x:c r="N24" s="127" t="str">
        <x:v>Комментарий</x:v>
      </x:c>
    </x:row>
    <x:row r="25">
      <x:c r="A25" s="136" t="str">
        <x:f>A18</x:f>
        <x:v>Целевой</x:v>
      </x:c>
      <x:c r="B25" s="137" t="n">
        <x:f>E18</x:f>
        <x:v>1860675135.8259277</x:v>
      </x:c>
      <x:c r="C25" s="138" t="n">
        <x:f>D6</x:f>
        <x:v>0.5</x:v>
      </x:c>
      <x:c r="D25" s="139" t="n">
        <x:f>$I$11</x:f>
        <x:v>3</x:v>
      </x:c>
      <x:c r="E25" s="137" t="n">
        <x:f>B25/(1+C25)^D25</x:f>
        <x:v>551311151.3558304</x:v>
      </x:c>
      <x:c r="F25" s="138" t="n">
        <x:f>D7</x:f>
        <x:v>0.15</x:v>
      </x:c>
      <x:c r="G25" s="137" t="n">
        <x:f>E25*F25</x:f>
        <x:v>82696672.70337456</x:v>
      </x:c>
      <x:c r="H25" s="41"/>
      <x:c r="I25" s="41" t="str">
        <x:v>После текущего раунда</x:v>
      </x:c>
      <x:c r="J25" s="135" t="n">
        <x:f>$I$6</x:f>
        <x:v>0.1</x:v>
      </x:c>
      <x:c r="K25" s="133" t="n">
        <x:f>$E$16*J25</x:f>
        <x:v>20161243.728296425</x:v>
      </x:c>
      <x:c r="L25" s="133" t="n">
        <x:f>$E$17*J25</x:f>
        <x:v>80603093.40971965</x:v>
      </x:c>
      <x:c r="M25" s="133" t="n">
        <x:f>$E$18*J25</x:f>
        <x:v>186067513.5825928</x:v>
      </x:c>
      <x:c r="N25" s="32" t="str">
        <x:v>Без учёта дальнейшего размытия.</x:v>
      </x:c>
    </x:row>
    <x:row r="26">
      <x:c r="A26" s="136"/>
      <x:c r="B26" s="136"/>
      <x:c r="C26" s="136"/>
      <x:c r="D26" s="136"/>
      <x:c r="E26" s="136"/>
      <x:c r="F26" s="136"/>
      <x:c r="G26" s="136"/>
      <x:c r="H26" s="41"/>
      <x:c r="I26" s="41" t="str">
        <x:v>После следующего раунда</x:v>
      </x:c>
      <x:c r="J26" s="135" t="n">
        <x:f>J25*(1-$I$9)</x:f>
        <x:v>0.0806</x:v>
      </x:c>
      <x:c r="K26" s="133" t="n">
        <x:f>$E$16*J26</x:f>
        <x:v>16249962.445006918</x:v>
      </x:c>
      <x:c r="L26" s="133" t="n">
        <x:f>$E$17*J26</x:f>
        <x:v>64966093.28823403</x:v>
      </x:c>
      <x:c r="M26" s="133" t="n">
        <x:f>$E$18*J26</x:f>
        <x:v>149970415.9475698</x:v>
      </x:c>
      <x:c r="N26" s="32" t="str">
        <x:v>Использован ориентир median Seed dilution 19,4% (Carta, США).</x:v>
      </x:c>
    </x:row>
    <x:row r="27" ht="26" customHeight="1">
      <x:c r="A27" s="149" t="str">
        <x:v>Итог метода 2</x:v>
      </x:c>
      <x:c r="B27" s="149"/>
      <x:c r="C27" s="149"/>
      <x:c r="D27" s="149"/>
      <x:c r="E27" s="150" t="n">
        <x:f>SUM(G23:G25)</x:f>
        <x:v>172089647.78832656</x:v>
      </x:c>
      <x:c r="F27" s="151" t="str">
        <x:v>Расчётная текущая стоимость до раунда, взвешенная по сценариям</x:v>
      </x:c>
      <x:c r="G27" s="152" t="n">
        <x:f>SUM(F23:F25)</x:f>
        <x:v>1</x:v>
      </x:c>
      <x:c r="H27" s="41"/>
      <x:c r="I27" s="41" t="str">
        <x:v>После двух последующих раундов</x:v>
      </x:c>
      <x:c r="J27" s="135" t="n">
        <x:f>J26*(1-$I$10)</x:f>
        <x:v>0.0655278</x:v>
      </x:c>
      <x:c r="K27" s="133" t="n">
        <x:f>$E$16*J27</x:f>
        <x:v>13211219.467790622</x:v>
      </x:c>
      <x:c r="L27" s="133" t="n">
        <x:f>$E$17*J27</x:f>
        <x:v>52817433.84333426</x:v>
      </x:c>
      <x:c r="M27" s="133" t="n">
        <x:f>$E$18*J27</x:f>
        <x:v>121925948.16537422</x:v>
      </x:c>
      <x:c r="N27" s="32" t="str">
        <x:v>Дополнительно median Series A dilution 18,7% (Carta, США).</x:v>
      </x:c>
    </x:row>
    <x:row r="28">
      <x:c r="A28" s="41"/>
      <x:c r="B28" s="41"/>
      <x:c r="C28" s="41"/>
      <x:c r="D28" s="41"/>
      <x:c r="E28" s="41"/>
      <x:c r="F28" s="41"/>
      <x:c r="G28" s="41"/>
      <x:c r="H28" s="41"/>
      <x:c r="I28" s="41"/>
      <x:c r="J28" s="41"/>
      <x:c r="K28" s="41"/>
      <x:c r="L28" s="41"/>
      <x:c r="M28" s="41"/>
      <x:c r="N28" s="41"/>
    </x:row>
    <x:row r="29">
      <x:c r="A29" s="41"/>
      <x:c r="B29" s="41"/>
      <x:c r="C29" s="41"/>
      <x:c r="D29" s="41"/>
      <x:c r="E29" s="41"/>
      <x:c r="F29" s="41"/>
      <x:c r="G29" s="41"/>
      <x:c r="H29" s="41"/>
      <x:c r="I29" s="41"/>
      <x:c r="J29" s="41"/>
      <x:c r="K29" s="41"/>
      <x:c r="L29" s="41"/>
      <x:c r="M29" s="41"/>
      <x:c r="N29" s="41"/>
    </x:row>
    <x:row r="30" ht="26" customHeight="1">
      <x:c r="A30" s="127" t="str">
        <x:v>Чувствительность базового сценария: стоимость на 36 месяц</x:v>
      </x:c>
      <x:c r="B30" s="127"/>
      <x:c r="C30" s="127"/>
      <x:c r="D30" s="127"/>
      <x:c r="E30" s="127"/>
      <x:c r="F30" s="127"/>
      <x:c r="G30" s="127"/>
      <x:c r="H30" s="41"/>
      <x:c r="I30" s="127" t="str">
        <x:v>Бумажная доходность инвестора на 36 месяц — после двух будущих раундов</x:v>
      </x:c>
      <x:c r="J30" s="127"/>
      <x:c r="K30" s="127"/>
      <x:c r="L30" s="127"/>
      <x:c r="M30" s="127"/>
      <x:c r="N30" s="127"/>
    </x:row>
    <x:row r="31" ht="26" customHeight="1">
      <x:c r="A31" s="127" t="str">
        <x:v>Мультипликатор</x:v>
      </x:c>
      <x:c r="B31" s="141" t="n">
        <x:v>2</x:v>
      </x:c>
      <x:c r="C31" s="141" t="n">
        <x:v>2.5</x:v>
      </x:c>
      <x:c r="D31" s="141" t="n">
        <x:v>3</x:v>
      </x:c>
      <x:c r="E31" s="141" t="n">
        <x:v>3.5</x:v>
      </x:c>
      <x:c r="F31" s="141" t="n">
        <x:v>4</x:v>
      </x:c>
      <x:c r="G31" s="41"/>
      <x:c r="H31" s="41"/>
      <x:c r="I31" s="127" t="str">
        <x:v>Сценарий</x:v>
      </x:c>
      <x:c r="J31" s="127" t="str">
        <x:v>Стоимость доли, ₽</x:v>
      </x:c>
      <x:c r="K31" s="127" t="str">
        <x:v>Инвестировано, ₽</x:v>
      </x:c>
      <x:c r="L31" s="127" t="str">
        <x:v>Мультипликатор на капитал</x:v>
      </x:c>
      <x:c r="M31" s="127" t="str">
        <x:v>Годовая доходность</x:v>
      </x:c>
      <x:c r="N31" s="127" t="str">
        <x:v>Важно</x:v>
      </x:c>
    </x:row>
    <x:row r="32">
      <x:c r="A32" s="41" t="str">
        <x:v>Стоимость компании, ₽</x:v>
      </x:c>
      <x:c r="B32" s="133" t="n">
        <x:f>$C$17*B$31</x:f>
        <x:v>537353956.0647975</x:v>
      </x:c>
      <x:c r="C32" s="133" t="n">
        <x:f>$C$17*C$31</x:f>
        <x:v>671692445.0809969</x:v>
      </x:c>
      <x:c r="D32" s="133" t="n">
        <x:f>$C$17*D$31</x:f>
        <x:v>806030934.0971963</x:v>
      </x:c>
      <x:c r="E32" s="133" t="n">
        <x:f>$C$17*E$31</x:f>
        <x:v>940369423.1133957</x:v>
      </x:c>
      <x:c r="F32" s="133" t="n">
        <x:f>$C$17*F$31</x:f>
        <x:v>1074707912.129595</x:v>
      </x:c>
      <x:c r="G32" s="41"/>
      <x:c r="H32" s="41"/>
      <x:c r="I32" s="41" t="str">
        <x:f>A16</x:f>
        <x:v>Консервативный</x:v>
      </x:c>
      <x:c r="J32" s="133" t="n">
        <x:f>K27</x:f>
        <x:v>13211219.467790622</x:v>
      </x:c>
      <x:c r="K32" s="133" t="n">
        <x:f>$I$5</x:f>
        <x:v>15000000</x:v>
      </x:c>
      <x:c r="L32" s="134" t="n">
        <x:f>IFERROR(J32/K32,0)</x:f>
        <x:v>0.8807479645193749</x:v>
      </x:c>
      <x:c r="M32" s="135" t="n">
        <x:f>IF(L32&gt;0,L32^(1/$I$11)-1,-1)</x:f>
        <x:v>-0.041444604559833675</x:v>
      </x:c>
      <x:c r="N32" s="32" t="str">
        <x:v>Это бумажная стоимость доли, не денежный выход и не гарантия ликвидности.</x:v>
      </x:c>
    </x:row>
    <x:row r="33">
      <x:c r="A33" s="41"/>
      <x:c r="B33" s="41"/>
      <x:c r="C33" s="41"/>
      <x:c r="D33" s="41"/>
      <x:c r="E33" s="41"/>
      <x:c r="F33" s="41"/>
      <x:c r="G33" s="41"/>
      <x:c r="H33" s="41"/>
      <x:c r="I33" s="41" t="str">
        <x:f>A17</x:f>
        <x:v>Базовый</x:v>
      </x:c>
      <x:c r="J33" s="133" t="n">
        <x:f>L27</x:f>
        <x:v>52817433.84333426</x:v>
      </x:c>
      <x:c r="K33" s="133" t="n">
        <x:f>$I$5</x:f>
        <x:v>15000000</x:v>
      </x:c>
      <x:c r="L33" s="134" t="n">
        <x:f>IFERROR(J33/K33,0)</x:f>
        <x:v>3.5211622562222837</x:v>
      </x:c>
      <x:c r="M33" s="135" t="n">
        <x:f>IF(L33&gt;0,L33^(1/$I$11)-1,-1)</x:f>
        <x:v>0.5213483903187441</x:v>
      </x:c>
      <x:c r="N33" s="32" t="str">
        <x:v>Это бумажная стоимость доли, не денежный выход и не гарантия ликвидности.</x:v>
      </x:c>
    </x:row>
    <x:row r="34">
      <x:c r="A34" s="145"/>
      <x:c r="B34" s="145"/>
      <x:c r="C34" s="145"/>
      <x:c r="D34" s="145"/>
      <x:c r="E34" s="145"/>
      <x:c r="F34" s="145"/>
      <x:c r="G34" s="145"/>
      <x:c r="H34" s="41"/>
      <x:c r="I34" s="41" t="str">
        <x:f>A18</x:f>
        <x:v>Целевой</x:v>
      </x:c>
      <x:c r="J34" s="133" t="n">
        <x:f>M27</x:f>
        <x:v>121925948.16537422</x:v>
      </x:c>
      <x:c r="K34" s="133" t="n">
        <x:f>$I$5</x:f>
        <x:v>15000000</x:v>
      </x:c>
      <x:c r="L34" s="134" t="n">
        <x:f>IFERROR(J34/K34,0)</x:f>
        <x:v>8.128396544358282</x:v>
      </x:c>
      <x:c r="M34" s="135" t="n">
        <x:f>IF(L34&gt;0,L34^(1/$I$11)-1,-1)</x:f>
        <x:v>1.0106429751068888</x:v>
      </x:c>
      <x:c r="N34" s="32" t="str">
        <x:v>Это бумажная стоимость доли, не денежный выход и не гарантия ликвидности.</x:v>
      </x:c>
    </x:row>
    <x:row r="35">
      <x:c r="A35" s="41"/>
      <x:c r="B35" s="41"/>
      <x:c r="C35" s="41"/>
      <x:c r="D35" s="41"/>
      <x:c r="E35" s="41"/>
      <x:c r="F35" s="41"/>
      <x:c r="G35" s="41"/>
      <x:c r="H35" s="41"/>
      <x:c r="I35" s="41"/>
      <x:c r="J35" s="41"/>
      <x:c r="K35" s="41"/>
      <x:c r="L35" s="41"/>
      <x:c r="M35" s="41"/>
      <x:c r="N35" s="41"/>
    </x:row>
    <x:row r="36">
      <x:c r="A36" s="41"/>
      <x:c r="B36" s="41"/>
      <x:c r="C36" s="41"/>
      <x:c r="D36" s="41"/>
      <x:c r="E36" s="41"/>
      <x:c r="F36" s="41"/>
      <x:c r="G36" s="41"/>
      <x:c r="H36" s="41"/>
      <x:c r="I36" s="41"/>
      <x:c r="J36" s="41"/>
      <x:c r="K36" s="41"/>
      <x:c r="L36" s="41"/>
      <x:c r="M36" s="41"/>
      <x:c r="N36" s="41"/>
    </x:row>
    <x:row r="37">
      <x:c r="A37" s="41"/>
      <x:c r="B37" s="41"/>
      <x:c r="C37" s="41"/>
      <x:c r="D37" s="41"/>
      <x:c r="E37" s="41"/>
      <x:c r="F37" s="41"/>
      <x:c r="G37" s="41"/>
      <x:c r="H37" s="41"/>
      <x:c r="I37" s="41"/>
      <x:c r="J37" s="41"/>
      <x:c r="K37" s="41"/>
      <x:c r="L37" s="41"/>
      <x:c r="M37" s="41"/>
      <x:c r="N37" s="41"/>
    </x:row>
    <x:row r="38" ht="26" customHeight="1">
      <x:c r="A38" s="127" t="str">
        <x:v>Источники и ограничения оценки</x:v>
      </x:c>
      <x:c r="B38" s="127"/>
      <x:c r="C38" s="127"/>
      <x:c r="D38" s="127"/>
      <x:c r="E38" s="127"/>
      <x:c r="F38" s="127"/>
      <x:c r="G38" s="127"/>
      <x:c r="H38" s="127"/>
      <x:c r="I38" s="127"/>
      <x:c r="J38" s="127"/>
      <x:c r="K38" s="127"/>
      <x:c r="L38" s="127"/>
      <x:c r="M38" s="127"/>
      <x:c r="N38" s="127"/>
    </x:row>
    <x:row r="39" ht="26" customHeight="1">
      <x:c r="A39" s="127" t="str">
        <x:v>Источник</x:v>
      </x:c>
      <x:c r="B39" s="127" t="str">
        <x:v>Дата</x:v>
      </x:c>
      <x:c r="C39" s="127" t="str">
        <x:v>Показатель</x:v>
      </x:c>
      <x:c r="D39" s="127" t="str">
        <x:v>Значение / вывод</x:v>
      </x:c>
      <x:c r="E39" s="127" t="str">
        <x:v>URL</x:v>
      </x:c>
      <x:c r="F39" s="127" t="str">
        <x:v>Как используется</x:v>
      </x:c>
      <x:c r="G39" s="41"/>
      <x:c r="H39" s="127" t="str">
        <x:v>Ограничения</x:v>
      </x:c>
      <x:c r="I39" s="127"/>
      <x:c r="J39" s="127"/>
      <x:c r="K39" s="127"/>
      <x:c r="L39" s="127"/>
      <x:c r="M39" s="127"/>
      <x:c r="N39" s="127"/>
    </x:row>
    <x:row r="40">
      <x:c r="A40" s="32" t="str">
        <x:v>Software Equity Group</x:v>
      </x:c>
      <x:c r="B40" s="32" t="str">
        <x:v>2Q 2026</x:v>
      </x:c>
      <x:c r="C40" s="32" t="str">
        <x:v>Публичный SaaS EV/TTM Revenue median</x:v>
      </x:c>
      <x:c r="D40" s="32" t="str">
        <x:v>3.2x</x:v>
      </x:c>
      <x:c r="E40" s="144" t="str">
        <x:v>https://softwareequity.com/research/quarterly-saas-report</x:v>
      </x:c>
      <x:c r="F40" s="32" t="str">
        <x:v>Ориентир публичного рынка; также SEG сообщает 4.0x median SaaS M&amp;A EV/TTM revenue.</x:v>
      </x:c>
      <x:c r="G40" s="41"/>
      <x:c r="H40" s="143" t="str">
        <x:v>1. Текущий round valuation 135/150 млн ₽ — это условия сделки, а не независимая рыночная оценка.
2. QORSYS находится на pre-seed стадии; мультипликаторы зрелых SaaS-компаний применимы только как ориентир.
3. Российский рынок, география, ликвидность доли и стадия компании могут давать существенный дисконт.
4. В модели нет гарантированного exit. Стоимость доли инвестора — бумажная сценарная оценка.
5. Success fee и будущие модули не включены в базовый ARR, поэтому upside от них в оценке не заложен.
6. При изменении цены, конверсии, churn, будущего финансирования или мультипликатора оценка автоматически меняется.</x:v>
      </x:c>
      <x:c r="I40" s="143"/>
      <x:c r="J40" s="143"/>
      <x:c r="K40" s="143"/>
      <x:c r="L40" s="143"/>
      <x:c r="M40" s="143"/>
      <x:c r="N40" s="143"/>
    </x:row>
    <x:row r="41">
      <x:c r="A41" s="32" t="str">
        <x:v>Clouded Judgement</x:v>
      </x:c>
      <x:c r="B41" s="32" t="str">
        <x:v>25.09.2026</x:v>
      </x:c>
      <x:c r="C41" s="32" t="str">
        <x:v>Публичный SaaS EV/NTM Revenue median</x:v>
      </x:c>
      <x:c r="D41" s="32" t="str">
        <x:v>4.2x</x:v>
      </x:c>
      <x:c r="E41" s="144" t="str">
        <x:v>https://cloudedjudgement.substack.com/p/clouded-judgement-92526-own-the-interaction</x:v>
      </x:c>
      <x:c r="F41" s="32" t="str">
        <x:v>Свежий публичный ориентир; не переносится напрямую на ранний частный бизнес.</x:v>
      </x:c>
      <x:c r="G41" s="41"/>
      <x:c r="H41" s="143"/>
      <x:c r="I41" s="143"/>
      <x:c r="J41" s="143"/>
      <x:c r="K41" s="143"/>
      <x:c r="L41" s="143"/>
      <x:c r="M41" s="143"/>
      <x:c r="N41" s="143"/>
    </x:row>
    <x:row r="42">
      <x:c r="A42" s="32" t="str">
        <x:v>Aventis Advisors</x:v>
      </x:c>
      <x:c r="B42" s="32" t="str">
        <x:v>2026</x:v>
      </x:c>
      <x:c r="C42" s="32" t="str">
        <x:v>Private SaaS M&amp;A, Q1 2026 median</x:v>
      </x:c>
      <x:c r="D42" s="32" t="str">
        <x:v>3.1x</x:v>
      </x:c>
      <x:c r="E42" s="144" t="str">
        <x:v>https://aventis-advisors.com/saas-valuation-multiples/</x:v>
      </x:c>
      <x:c r="F42" s="32" t="str">
        <x:v>Ориентир частных сделок; выборка M&amp;A, а не pre-seed.</x:v>
      </x:c>
      <x:c r="G42" s="41"/>
      <x:c r="H42" s="143"/>
      <x:c r="I42" s="143"/>
      <x:c r="J42" s="143"/>
      <x:c r="K42" s="143"/>
      <x:c r="L42" s="143"/>
      <x:c r="M42" s="143"/>
      <x:c r="N42" s="143"/>
    </x:row>
    <x:row r="43">
      <x:c r="A43" s="32" t="str">
        <x:v>Carta</x:v>
      </x:c>
      <x:c r="B43" s="32" t="str">
        <x:v>Q2 2026</x:v>
      </x:c>
      <x:c r="C43" s="32" t="str">
        <x:v>Median Seed dilution</x:v>
      </x:c>
      <x:c r="D43" s="32" t="str">
        <x:v>19.4%</x:v>
      </x:c>
      <x:c r="E43" s="144" t="str">
        <x:v>https://carta.com/learn/startups/fundraising/seed-funding/</x:v>
      </x:c>
      <x:c r="F43" s="32" t="str">
        <x:v>Только ориентир будущего размытия; данные США.</x:v>
      </x:c>
      <x:c r="G43" s="41"/>
      <x:c r="H43" s="143"/>
      <x:c r="I43" s="143"/>
      <x:c r="J43" s="143"/>
      <x:c r="K43" s="143"/>
      <x:c r="L43" s="143"/>
      <x:c r="M43" s="143"/>
      <x:c r="N43" s="143"/>
    </x:row>
    <x:row r="44">
      <x:c r="A44" s="32" t="str">
        <x:v>Carta</x:v>
      </x:c>
      <x:c r="B44" s="32" t="str">
        <x:v>Q2 2026</x:v>
      </x:c>
      <x:c r="C44" s="32" t="str">
        <x:v>Median Series A dilution</x:v>
      </x:c>
      <x:c r="D44" s="32" t="str">
        <x:v>18.7%</x:v>
      </x:c>
      <x:c r="E44" s="144" t="str">
        <x:v>https://carta.com/learn/startups/fundraising/series-a/</x:v>
      </x:c>
      <x:c r="F44" s="32" t="str">
        <x:v>Только ориентир будущего размытия; данные США.</x:v>
      </x:c>
      <x:c r="G44" s="41"/>
      <x:c r="H44" s="143"/>
      <x:c r="I44" s="143"/>
      <x:c r="J44" s="143"/>
      <x:c r="K44" s="143"/>
      <x:c r="L44" s="143"/>
      <x:c r="M44" s="143"/>
      <x:c r="N44" s="143"/>
    </x:row>
    <x:row r="45">
      <x:c r="A45" s="32" t="str">
        <x:v>Aswath Damodaran</x:v>
      </x:c>
      <x:c r="B45" s="32" t="str">
        <x:v>метод VC</x:v>
      </x:c>
      <x:c r="C45" s="32" t="str">
        <x:v>Startup target rate of return</x:v>
      </x:c>
      <x:c r="D45" s="32" t="str">
        <x:v>50–70%</x:v>
      </x:c>
      <x:c r="E45" s="144" t="str">
        <x:v>https://pages.stern.nyu.edu/~adamodar/pdfiles/DSV2/DSV2.pdf</x:v>
      </x:c>
      <x:c r="F45" s="32" t="str">
        <x:v>Используется для дисконтирования будущей стоимости методом VC.</x:v>
      </x:c>
      <x:c r="G45" s="41"/>
      <x:c r="H45" s="143"/>
      <x:c r="I45" s="143"/>
      <x:c r="J45" s="143"/>
      <x:c r="K45" s="143"/>
      <x:c r="L45" s="143"/>
      <x:c r="M45" s="143"/>
      <x:c r="N45" s="143"/>
    </x:row>
    <x:row r="46">
      <x:c r="A46" s="41"/>
      <x:c r="B46" s="41"/>
      <x:c r="C46" s="41"/>
      <x:c r="D46" s="41"/>
      <x:c r="E46" s="41"/>
      <x:c r="F46" s="41"/>
      <x:c r="G46" s="41"/>
      <x:c r="H46" s="41"/>
      <x:c r="I46" s="41"/>
      <x:c r="J46" s="41"/>
      <x:c r="K46" s="41"/>
      <x:c r="L46" s="41"/>
      <x:c r="M46" s="41"/>
      <x:c r="N46" s="41"/>
    </x:row>
    <x:row r="47">
      <x:c r="A47" s="41"/>
      <x:c r="B47" s="41"/>
      <x:c r="C47" s="41"/>
      <x:c r="D47" s="41"/>
      <x:c r="E47" s="41"/>
      <x:c r="F47" s="41"/>
      <x:c r="G47" s="41"/>
      <x:c r="H47" s="41"/>
      <x:c r="I47" s="41"/>
      <x:c r="J47" s="41"/>
      <x:c r="K47" s="41"/>
      <x:c r="L47" s="41"/>
      <x:c r="M47" s="41"/>
      <x:c r="N47" s="41"/>
    </x:row>
    <x:row r="48">
      <x:c r="A48" s="41"/>
      <x:c r="B48" s="41"/>
      <x:c r="C48" s="41"/>
      <x:c r="D48" s="41"/>
      <x:c r="E48" s="41"/>
      <x:c r="F48" s="41"/>
      <x:c r="G48" s="41"/>
      <x:c r="H48" s="41"/>
      <x:c r="I48" s="41"/>
      <x:c r="J48" s="41"/>
      <x:c r="K48" s="41"/>
      <x:c r="L48" s="41"/>
      <x:c r="M48" s="41"/>
      <x:c r="N48" s="41"/>
    </x:row>
    <x:row r="49">
      <x:c r="A49" s="41"/>
      <x:c r="B49" s="41"/>
      <x:c r="C49" s="41"/>
      <x:c r="D49" s="41"/>
      <x:c r="E49" s="41"/>
      <x:c r="F49" s="41"/>
      <x:c r="G49" s="41"/>
      <x:c r="H49" s="41"/>
      <x:c r="I49" s="41"/>
      <x:c r="J49" s="41"/>
      <x:c r="K49" s="41"/>
      <x:c r="L49" s="41"/>
      <x:c r="M49" s="41"/>
      <x:c r="N49" s="41"/>
    </x:row>
    <x:row r="50">
      <x:c r="A50" s="41"/>
      <x:c r="B50" s="41"/>
      <x:c r="C50" s="41"/>
      <x:c r="D50" s="41"/>
      <x:c r="E50" s="41"/>
      <x:c r="F50" s="41"/>
      <x:c r="G50" s="41"/>
      <x:c r="H50" s="41"/>
      <x:c r="I50" s="41"/>
      <x:c r="J50" s="41"/>
      <x:c r="K50" s="41"/>
      <x:c r="L50" s="41"/>
      <x:c r="M50" s="41"/>
      <x:c r="N50" s="41"/>
    </x:row>
    <x:row r="51">
      <x:c r="A51" s="41"/>
      <x:c r="B51" s="41"/>
      <x:c r="C51" s="41"/>
      <x:c r="D51" s="41"/>
      <x:c r="E51" s="41"/>
      <x:c r="F51" s="41"/>
      <x:c r="G51" s="41"/>
      <x:c r="H51" s="41"/>
      <x:c r="I51" s="41"/>
      <x:c r="J51" s="41"/>
      <x:c r="K51" s="41"/>
      <x:c r="L51" s="41"/>
      <x:c r="M51" s="41"/>
      <x:c r="N51" s="41"/>
    </x:row>
    <x:row r="52">
      <x:c r="A52" s="41"/>
      <x:c r="B52" s="41"/>
      <x:c r="C52" s="41"/>
      <x:c r="D52" s="41"/>
      <x:c r="E52" s="41"/>
      <x:c r="F52" s="41"/>
      <x:c r="G52" s="41"/>
      <x:c r="H52" s="41"/>
      <x:c r="I52" s="41"/>
      <x:c r="J52" s="41"/>
      <x:c r="K52" s="41"/>
      <x:c r="L52" s="41"/>
      <x:c r="M52" s="41"/>
      <x:c r="N52" s="41"/>
    </x:row>
    <x:row r="53">
      <x:c r="A53" s="41"/>
      <x:c r="B53" s="41"/>
      <x:c r="C53" s="41"/>
      <x:c r="D53" s="41"/>
      <x:c r="E53" s="41"/>
      <x:c r="F53" s="41"/>
      <x:c r="G53" s="41"/>
      <x:c r="H53" s="41"/>
      <x:c r="I53" s="41"/>
      <x:c r="J53" s="41"/>
      <x:c r="K53" s="41"/>
      <x:c r="L53" s="41"/>
      <x:c r="M53" s="41"/>
      <x:c r="N53" s="41"/>
    </x:row>
    <x:row r="54">
      <x:c r="A54" s="41"/>
      <x:c r="B54" s="41"/>
      <x:c r="C54" s="41"/>
      <x:c r="D54" s="41"/>
      <x:c r="E54" s="41"/>
      <x:c r="F54" s="41"/>
      <x:c r="G54" s="41"/>
      <x:c r="H54" s="41"/>
      <x:c r="I54" s="41"/>
      <x:c r="J54" s="41"/>
      <x:c r="K54" s="41"/>
      <x:c r="L54" s="41"/>
      <x:c r="M54" s="41"/>
      <x:c r="N54" s="41"/>
    </x:row>
    <x:row r="55">
      <x:c r="A55" s="41"/>
      <x:c r="B55" s="41"/>
      <x:c r="C55" s="41"/>
      <x:c r="D55" s="41"/>
      <x:c r="E55" s="41"/>
      <x:c r="F55" s="41"/>
      <x:c r="G55" s="41"/>
      <x:c r="H55" s="41"/>
      <x:c r="I55" s="41"/>
      <x:c r="J55" s="41"/>
      <x:c r="K55" s="41"/>
      <x:c r="L55" s="41"/>
      <x:c r="M55" s="41"/>
      <x:c r="N55" s="41"/>
    </x:row>
    <x:row r="56">
      <x:c r="A56" s="41"/>
      <x:c r="B56" s="41"/>
      <x:c r="C56" s="41"/>
      <x:c r="D56" s="41"/>
      <x:c r="E56" s="41"/>
      <x:c r="F56" s="41"/>
      <x:c r="G56" s="41"/>
      <x:c r="H56" s="41"/>
      <x:c r="I56" s="41"/>
      <x:c r="J56" s="41"/>
      <x:c r="K56" s="41"/>
      <x:c r="L56" s="41"/>
      <x:c r="M56" s="41"/>
      <x:c r="N56" s="41"/>
    </x:row>
    <x:row r="57">
      <x:c r="A57" s="41"/>
      <x:c r="B57" s="41"/>
      <x:c r="C57" s="41"/>
      <x:c r="D57" s="41"/>
      <x:c r="E57" s="41"/>
      <x:c r="F57" s="41"/>
      <x:c r="G57" s="41"/>
      <x:c r="H57" s="41"/>
      <x:c r="I57" s="41"/>
      <x:c r="J57" s="41"/>
      <x:c r="K57" s="41"/>
      <x:c r="L57" s="41"/>
      <x:c r="M57" s="41"/>
      <x:c r="N57" s="41"/>
    </x:row>
    <x:row r="58">
      <x:c r="A58" s="41"/>
      <x:c r="B58" s="41"/>
      <x:c r="C58" s="41"/>
      <x:c r="D58" s="41"/>
      <x:c r="E58" s="41"/>
      <x:c r="F58" s="41"/>
      <x:c r="G58" s="41"/>
      <x:c r="H58" s="41"/>
      <x:c r="I58" s="41"/>
      <x:c r="J58" s="41"/>
      <x:c r="K58" s="41"/>
      <x:c r="L58" s="41"/>
      <x:c r="M58" s="41"/>
      <x:c r="N58" s="41"/>
    </x:row>
    <x:row r="59">
      <x:c r="A59" s="41"/>
      <x:c r="B59" s="41"/>
      <x:c r="C59" s="41"/>
      <x:c r="D59" s="41"/>
      <x:c r="E59" s="41"/>
      <x:c r="F59" s="41"/>
      <x:c r="G59" s="41"/>
      <x:c r="H59" s="41"/>
      <x:c r="I59" s="41"/>
      <x:c r="J59" s="41"/>
      <x:c r="K59" s="41"/>
      <x:c r="L59" s="41"/>
      <x:c r="M59" s="41"/>
      <x:c r="N59" s="41"/>
    </x:row>
    <x:row r="60">
      <x:c r="A60" s="41"/>
      <x:c r="B60" s="41"/>
      <x:c r="C60" s="41"/>
      <x:c r="D60" s="41"/>
      <x:c r="E60" s="41"/>
      <x:c r="F60" s="41"/>
      <x:c r="G60" s="41"/>
      <x:c r="H60" s="41"/>
      <x:c r="I60" s="41"/>
      <x:c r="J60" s="41"/>
      <x:c r="K60" s="41"/>
      <x:c r="L60" s="41"/>
      <x:c r="M60" s="41"/>
      <x:c r="N60" s="41"/>
    </x:row>
  </x:sheetData>
  <x:mergeCells>
    <x:mergeCell ref="A1:N1"/>
    <x:mergeCell ref="A3:F3"/>
    <x:mergeCell ref="H3:N3"/>
    <x:mergeCell ref="A14:F14"/>
    <x:mergeCell ref="A21:G21"/>
    <x:mergeCell ref="A27:D27"/>
    <x:mergeCell ref="I14:N14"/>
    <x:mergeCell ref="I23:N23"/>
    <x:mergeCell ref="I30:N30"/>
    <x:mergeCell ref="A30:G30"/>
    <x:mergeCell ref="A38:N38"/>
    <x:mergeCell ref="H39:N39"/>
    <x:mergeCell ref="H40:N45"/>
  </x:mergeCells>
  <x:pageMargins left="0.7" right="0.7" top="0.75" bottom="0.75" header="0.3" footer="0.3"/>
  <x:drawing xmlns:r="http://schemas.openxmlformats.org/officeDocument/2006/relationships" r:id="Ra087f2f719e040b4"/>
</x:worksheet>
</file>

<file path=xl/worksheets/sheet13.xml><?xml version="1.0" encoding="utf-8"?>
<x:worksheet xmlns:x="http://schemas.openxmlformats.org/spreadsheetml/2006/main">
  <x:sheetFormatPr defaultRowHeight="15"/>
  <x:cols>
    <x:col min="1" max="1" width="43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46" hidden="0" customWidth="1"/>
    <x:col min="8" max="8" width="25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18" hidden="0" customWidth="1"/>
    <x:col min="16" max="16" width="18" hidden="0" customWidth="1"/>
  </x:cols>
  <x:sheetData>
    <x:row r="1" ht="28" customHeight="1">
      <x:c r="A1" s="175" t="str">
        <x:v>QORSYS — стресс-тест достаточности капитала</x:v>
      </x:c>
      <x:c r="B1" s="176"/>
      <x:c r="C1" s="176"/>
      <x:c r="D1" s="176"/>
      <x:c r="E1" s="176"/>
      <x:c r="F1" s="176"/>
      <x:c r="G1" s="176"/>
      <x:c r="H1" s="176"/>
      <x:c r="I1" s="176"/>
      <x:c r="J1" s="176"/>
      <x:c r="K1" s="176"/>
      <x:c r="L1" s="176"/>
      <x:c r="M1" s="176"/>
      <x:c r="N1" s="176"/>
      <x:c r="O1" s="176"/>
      <x:c r="P1" s="176"/>
      <x:c r="Q1" s="176"/>
      <x:c r="R1" s="176"/>
      <x:c r="S1" s="176"/>
      <x:c r="T1" s="176"/>
      <x:c r="U1" s="176"/>
      <x:c r="V1" s="176"/>
      <x:c r="W1" s="176"/>
      <x:c r="X1" s="176"/>
      <x:c r="Y1" s="176"/>
      <x:c r="Z1" s="176"/>
      <x:c r="AA1" s="176"/>
      <x:c r="AB1" s="176"/>
      <x:c r="AC1" s="176"/>
      <x:c r="AD1" s="176"/>
      <x:c r="AE1" s="176"/>
      <x:c r="AF1" s="176"/>
      <x:c r="AG1" s="176"/>
      <x:c r="AH1" s="176"/>
      <x:c r="AI1" s="176"/>
      <x:c r="AJ1" s="176"/>
      <x:c r="AK1" s="176"/>
    </x:row>
    <x:row r="3" ht="26" customHeight="1">
      <x:c r="A3" s="170" t="str">
        <x:v>Изменяемые параметры стресса</x:v>
      </x:c>
      <x:c r="B3" s="170"/>
      <x:c r="C3" s="170"/>
      <x:c r="D3" s="170"/>
      <x:c r="E3" s="170"/>
      <x:c r="F3" s="170"/>
      <x:c r="H3" s="170" t="str">
        <x:v>Результаты стресс-теста</x:v>
      </x:c>
      <x:c r="I3" s="170"/>
      <x:c r="J3" s="170"/>
      <x:c r="K3" s="170"/>
      <x:c r="L3" s="170"/>
      <x:c r="M3" s="170"/>
      <x:c r="N3" s="170"/>
      <x:c r="O3" s="170"/>
      <x:c r="P3" s="170"/>
    </x:row>
    <x:row r="4" ht="26" customHeight="1">
      <x:c r="A4" s="170" t="str">
        <x:v>Параметр</x:v>
      </x:c>
      <x:c r="B4" s="170" t="str">
        <x:v>Базовый</x:v>
      </x:c>
      <x:c r="C4" s="170" t="str">
        <x:v>Мягкий стресс</x:v>
      </x:c>
      <x:c r="D4" s="170" t="str">
        <x:v>Сильный стресс</x:v>
      </x:c>
      <x:c r="E4" s="170" t="str">
        <x:v>Экстремальный стресс</x:v>
      </x:c>
      <x:c r="F4" s="170" t="str">
        <x:v>Комментарий</x:v>
      </x:c>
      <x:c r="H4" s="170" t="str">
        <x:v>Сценарий</x:v>
      </x:c>
      <x:c r="I4" s="170" t="str">
        <x:v>Деньги на 3 месяц, ₽</x:v>
      </x:c>
      <x:c r="J4" s="170" t="str">
        <x:v>Клиенты на 6 месяц</x:v>
      </x:c>
      <x:c r="K4" s="170" t="str">
        <x:v>ARR на 6 месяц, ₽</x:v>
      </x:c>
      <x:c r="L4" s="170" t="str">
        <x:v>Клиенты на 12 месяц</x:v>
      </x:c>
      <x:c r="M4" s="170" t="str">
        <x:v>ARR на 12 месяц, ₽</x:v>
      </x:c>
      <x:c r="N4" s="170" t="str">
        <x:v>Мин. остаток денег, ₽</x:v>
      </x:c>
      <x:c r="O4" s="170" t="str">
        <x:v>Первый месяц ниже резерва</x:v>
      </x:c>
      <x:c r="P4" s="170" t="str">
        <x:v>Доп. капитал до резерва, ₽</x:v>
      </x:c>
    </x:row>
    <x:row r="5">
      <x:c r="A5" t="str">
        <x:v>Объём аудитов к базовому плану</x:v>
      </x:c>
      <x:c r="B5" s="173" t="n">
        <x:v>1</x:v>
      </x:c>
      <x:c r="C5" s="173" t="n">
        <x:v>0.9</x:v>
      </x:c>
      <x:c r="D5" s="173" t="n">
        <x:v>0.75</x:v>
      </x:c>
      <x:c r="E5" s="173" t="n">
        <x:v>0.6</x:v>
      </x:c>
      <x:c r="F5" t="str">
        <x:v>Снижение объёма верхней части воронки</x:v>
      </x:c>
      <x:c r="H5" t="str">
        <x:v>Базовый</x:v>
      </x:c>
      <x:c r="I5" s="55" t="n">
        <x:f>D47</x:f>
        <x:v>10099596</x:v>
      </x:c>
      <x:c r="J5" s="98" t="n">
        <x:f>G32</x:f>
        <x:v>6.922251168800001</x:v>
      </x:c>
      <x:c r="K5" s="55" t="n">
        <x:f>G32*'Допущения'!$D$8*B$8*12</x:f>
        <x:v>20766753.506400004</x:v>
      </x:c>
      <x:c r="L5" s="98" t="n">
        <x:f>M32</x:f>
        <x:v>18.973093574417074</x:v>
      </x:c>
      <x:c r="M5" s="55" t="n">
        <x:f>M32*'Допущения'!$D$8*B$8*12</x:f>
        <x:v>56919280.72325122</x:v>
      </x:c>
      <x:c r="N5" s="55" t="n">
        <x:f>MIN(B47:AK47)</x:f>
        <x:v>8255712.529204001</x:v>
      </x:c>
      <x:c r="O5" s="57" t="n">
        <x:f>AK49</x:f>
        <x:v>0</x:v>
      </x:c>
      <x:c r="P5" s="55" t="n">
        <x:f>MAX(B52:AK52)</x:f>
        <x:v>0</x:v>
      </x:c>
    </x:row>
    <x:row r="6">
      <x:c r="A6" t="str">
        <x:v>Конверсия аудит → оптимизация, множитель</x:v>
      </x:c>
      <x:c r="B6" s="173" t="n">
        <x:v>1</x:v>
      </x:c>
      <x:c r="C6" s="173" t="n">
        <x:v>0.85</x:v>
      </x:c>
      <x:c r="D6" s="173" t="n">
        <x:v>0.7</x:v>
      </x:c>
      <x:c r="E6" s="173" t="n">
        <x:v>0.55</x:v>
      </x:c>
      <x:c r="F6" t="str">
        <x:v>Применяется к базовой конверсии</x:v>
      </x:c>
      <x:c r="H6" t="str">
        <x:v>Мягкий стресс</x:v>
      </x:c>
      <x:c r="I6" s="55" t="n">
        <x:f>D79</x:f>
        <x:v>5750413.119</x:v>
      </x:c>
      <x:c r="J6" s="98" t="n">
        <x:f>G64</x:f>
        <x:v>4.725973960025175</x:v>
      </x:c>
      <x:c r="K6" s="55" t="n">
        <x:f>G64*'Допущения'!$D$8*C$8*12</x:f>
        <x:v>13469025.786071748</x:v>
      </x:c>
      <x:c r="L6" s="98" t="n">
        <x:f>M64</x:f>
        <x:v>12.789512489829042</x:v>
      </x:c>
      <x:c r="M6" s="55" t="n">
        <x:f>M64*'Допущения'!$D$8*C$8*12</x:f>
        <x:v>36450110.59601276</x:v>
      </x:c>
      <x:c r="N6" s="55" t="n">
        <x:f>MIN(B79:AK79)</x:f>
        <x:v>-13723729.023769468</x:v>
      </x:c>
      <x:c r="O6" s="57" t="n">
        <x:f>AK81</x:f>
        <x:v>4</x:v>
      </x:c>
      <x:c r="P6" s="55" t="n">
        <x:f>MAX(B84:AK84)</x:f>
        <x:v>16523729.023769468</x:v>
      </x:c>
    </x:row>
    <x:row r="7">
      <x:c r="A7" t="str">
        <x:v>Конверсия оптимизация → Ядро QORSYS, множитель</x:v>
      </x:c>
      <x:c r="B7" s="173" t="n">
        <x:v>1</x:v>
      </x:c>
      <x:c r="C7" s="173" t="n">
        <x:v>0.9</x:v>
      </x:c>
      <x:c r="D7" s="173" t="n">
        <x:v>0.8</x:v>
      </x:c>
      <x:c r="E7" s="173" t="n">
        <x:v>0.7</x:v>
      </x:c>
      <x:c r="F7" t="str">
        <x:v>Применяется к базовой конверсии</x:v>
      </x:c>
      <x:c r="H7" t="str">
        <x:v>Сильный стресс</x:v>
      </x:c>
      <x:c r="I7" s="55" t="n">
        <x:f>D111</x:f>
        <x:v>3478368</x:v>
      </x:c>
      <x:c r="J7" s="98" t="n">
        <x:f>G96</x:f>
        <x:v>2.162822323200001</x:v>
      </x:c>
      <x:c r="K7" s="55" t="n">
        <x:f>G96*'Допущения'!$D$8*D$8*12</x:f>
        <x:v>5839620.272640003</x:v>
      </x:c>
      <x:c r="L7" s="98" t="n">
        <x:f>M96</x:f>
        <x:v>6.852503481035858</x:v>
      </x:c>
      <x:c r="M7" s="55" t="n">
        <x:f>M96*'Допущения'!$D$8*D$8*12</x:f>
        <x:v>18501759.398796815</x:v>
      </x:c>
      <x:c r="N7" s="55" t="n">
        <x:f>MIN(B111:AK111)</x:f>
        <x:v>-64386773.53440799</x:v>
      </x:c>
      <x:c r="O7" s="57" t="n">
        <x:f>AK113</x:f>
        <x:v>4</x:v>
      </x:c>
      <x:c r="P7" s="55" t="n">
        <x:f>MAX(B116:AK116)</x:f>
        <x:v>67186773.53440799</x:v>
      </x:c>
    </x:row>
    <x:row r="8">
      <x:c r="A8" t="str">
        <x:v>Цена, множитель</x:v>
      </x:c>
      <x:c r="B8" s="173" t="n">
        <x:v>1</x:v>
      </x:c>
      <x:c r="C8" s="173" t="n">
        <x:v>0.95</x:v>
      </x:c>
      <x:c r="D8" s="173" t="n">
        <x:v>0.9</x:v>
      </x:c>
      <x:c r="E8" s="173" t="n">
        <x:v>0.85</x:v>
      </x:c>
      <x:c r="F8" t="str">
        <x:v>Применяется к лицензии и оптимизации</x:v>
      </x:c>
      <x:c r="H8" t="str">
        <x:v>Экстремальный стресс</x:v>
      </x:c>
      <x:c r="I8" s="55" t="n">
        <x:f>D143</x:f>
        <x:v>3216197.4000000004</x:v>
      </x:c>
      <x:c r="J8" s="98" t="n">
        <x:f>G128</x:f>
        <x:v>1.17475979544</x:v>
      </x:c>
      <x:c r="K8" s="55" t="n">
        <x:f>G128*'Допущения'!$D$8*E$8*12</x:f>
        <x:v>2995637.478372</x:v>
      </x:c>
      <x:c r="L8" s="98" t="n">
        <x:f>M128</x:f>
        <x:v>3.630733371039831</x:v>
      </x:c>
      <x:c r="M8" s="55" t="n">
        <x:f>M128*'Допущения'!$D$8*E$8*12</x:f>
        <x:v>9258370.09615157</x:v>
      </x:c>
      <x:c r="N8" s="55" t="n">
        <x:f>MIN(B143:AK143)</x:f>
        <x:v>-124383169.96426122</x:v>
      </x:c>
      <x:c r="O8" s="57" t="n">
        <x:f>AK145</x:f>
        <x:v>4</x:v>
      </x:c>
      <x:c r="P8" s="55" t="n">
        <x:f>MAX(B148:AK148)</x:f>
        <x:v>127183169.96426122</x:v>
      </x:c>
    </x:row>
    <x:row r="9">
      <x:c r="A9" t="str">
        <x:v>Себестоимость аудита, множитель</x:v>
      </x:c>
      <x:c r="B9" s="173" t="n">
        <x:v>1</x:v>
      </x:c>
      <x:c r="C9" s="173" t="n">
        <x:v>1.15</x:v>
      </x:c>
      <x:c r="D9" s="173" t="n">
        <x:v>1.3</x:v>
      </x:c>
      <x:c r="E9" s="173" t="n">
        <x:v>1.5</x:v>
      </x:c>
      <x:c r="F9" t="str">
        <x:v>Рост трудоёмкости бесплатного аудита</x:v>
      </x:c>
    </x:row>
    <x:row r="10" ht="26" customHeight="1">
      <x:c r="A10" t="str">
        <x:v>Себестоимость оптимизации, множитель</x:v>
      </x:c>
      <x:c r="B10" s="173" t="n">
        <x:v>1</x:v>
      </x:c>
      <x:c r="C10" s="173" t="n">
        <x:v>1.1</x:v>
      </x:c>
      <x:c r="D10" s="173" t="n">
        <x:v>1.25</x:v>
      </x:c>
      <x:c r="E10" s="173" t="n">
        <x:v>1.4</x:v>
      </x:c>
      <x:c r="F10" t="str">
        <x:v>Рост трудоёмкости внедрения</x:v>
      </x:c>
      <x:c r="H10" s="170" t="str">
        <x:v>Сценарий</x:v>
      </x:c>
      <x:c r="I10" s="170" t="str">
        <x:v>Выручка за год 1, ₽</x:v>
      </x:c>
      <x:c r="J10" s="170" t="str">
        <x:v>EBITDA за год 1, ₽</x:v>
      </x:c>
      <x:c r="K10" s="170" t="str">
        <x:v>Первый месяц EBITDA ≥ 0</x:v>
      </x:c>
      <x:c r="L10" s="170" t="str">
        <x:v>Первый месяц денег &lt; 0</x:v>
      </x:c>
      <x:c r="M10" s="170" t="str">
        <x:v>Статус 15 млн ₽</x:v>
      </x:c>
      <x:c r="N10" s="170" t="str">
        <x:v>Статус с резервом 2,8 млн ₽</x:v>
      </x:c>
      <x:c r="O10" s="170" t="str">
        <x:v>Деньги на 36 месяц, ₽</x:v>
      </x:c>
      <x:c r="P10" s="170" t="str">
        <x:v>Комментарий</x:v>
      </x:c>
    </x:row>
    <x:row r="11">
      <x:c r="A11" t="str">
        <x:v>Дополнительный ежемесячный отток</x:v>
      </x:c>
      <x:c r="B11" s="174" t="n">
        <x:v>0</x:v>
      </x:c>
      <x:c r="C11" s="174" t="n">
        <x:v>0.005</x:v>
      </x:c>
      <x:c r="D11" s="174" t="n">
        <x:v>0.01</x:v>
      </x:c>
      <x:c r="E11" s="174" t="n">
        <x:v>0.02</x:v>
      </x:c>
      <x:c r="F11" t="str">
        <x:v>Добавляется к базовому оттоку</x:v>
      </x:c>
      <x:c r="H11" t="str">
        <x:v>Базовый</x:v>
      </x:c>
      <x:c r="I11" s="55" t="n">
        <x:f>SUM(B35:M35)</x:f>
        <x:v>66665934.03317751</x:v>
      </x:c>
      <x:c r="J11" s="55" t="n">
        <x:f>SUM(B42:M42)</x:f>
        <x:v>-1748871.6927944506</x:v>
      </x:c>
      <x:c r="K11" s="57" t="n">
        <x:f>AK54</x:f>
        <x:v>7</x:v>
      </x:c>
      <x:c r="L11" s="57" t="n">
        <x:f>AK51</x:f>
        <x:v>0</x:v>
      </x:c>
      <x:c r="M11" t="str">
        <x:f>IF(MIN(B47:AK47)&gt;=0,"ХВАТАЕТ","НЕ ХВАТАЕТ")</x:f>
        <x:v>ХВАТАЕТ</x:v>
      </x:c>
      <x:c r="N11" t="str">
        <x:f>IF(MIN(B47:AK47)&gt;='Допущения'!$D$26,"ХВАТАЕТ","НИЖЕ РЕЗЕРВА")</x:f>
        <x:v>ХВАТАЕТ</x:v>
      </x:c>
      <x:c r="O11" s="55" t="n">
        <x:f>AK47</x:f>
        <x:v>242410962.72281224</x:v>
      </x:c>
      <x:c r="P11" t="str">
        <x:v>Контрольный сценарий на базе текущей модели.</x:v>
      </x:c>
    </x:row>
    <x:row r="12">
      <x:c r="A12" t="str">
        <x:v>Лаг оплаты клиентами, мес.</x:v>
      </x:c>
      <x:c r="B12" s="173" t="n">
        <x:v>0</x:v>
      </x:c>
      <x:c r="C12" s="173" t="n">
        <x:v>1</x:v>
      </x:c>
      <x:c r="D12" s="173" t="n">
        <x:v>2</x:v>
      </x:c>
      <x:c r="E12" s="173" t="n">
        <x:v>2</x:v>
      </x:c>
      <x:c r="F12" t="str">
        <x:v>0 / 1 / 2 месяца ≈ 0 / 30 / 60 дней</x:v>
      </x:c>
      <x:c r="H12" t="str">
        <x:v>Мягкий стресс</x:v>
      </x:c>
      <x:c r="I12" s="55" t="n">
        <x:f>SUM(B67:M67)</x:f>
        <x:v>46360082.29404128</x:v>
      </x:c>
      <x:c r="J12" s="55" t="n">
        <x:f>SUM(B74:M74)</x:f>
        <x:v>-20624206.214513905</x:v>
      </x:c>
      <x:c r="K12" s="57" t="n">
        <x:f>AK86</x:f>
        <x:v>15</x:v>
      </x:c>
      <x:c r="L12" s="57" t="n">
        <x:f>AK83</x:f>
        <x:v>6</x:v>
      </x:c>
      <x:c r="M12" t="str">
        <x:f>IF(MIN(B79:AK79)&gt;=0,"ХВАТАЕТ","НЕ ХВАТАЕТ")</x:f>
        <x:v>НЕ ХВАТАЕТ</x:v>
      </x:c>
      <x:c r="N12" t="str">
        <x:f>IF(MIN(B79:AK79)&gt;='Допущения'!$D$26,"ХВАТАЕТ","НИЖЕ РЕЗЕРВА")</x:f>
        <x:v>НИЖЕ РЕЗЕРВА</x:v>
      </x:c>
      <x:c r="O12" s="55" t="n">
        <x:f>AK79</x:f>
        <x:v>57544257.971060574</x:v>
      </x:c>
      <x:c r="P12" t="str">
        <x:v>Умеренное ухудшение коммерции и 30-дневная задержка оплаты.</x:v>
      </x:c>
    </x:row>
    <x:row r="13">
      <x:c r="A13" t="str">
        <x:v>Дополнительный лаг запуска Ядра QORSYS, мес.</x:v>
      </x:c>
      <x:c r="B13" s="174" t="n">
        <x:v>0</x:v>
      </x:c>
      <x:c r="C13" s="174" t="n">
        <x:v>0</x:v>
      </x:c>
      <x:c r="D13" s="174" t="n">
        <x:v>1</x:v>
      </x:c>
      <x:c r="E13" s="174" t="n">
        <x:v>1</x:v>
      </x:c>
      <x:c r="F13" t="str">
        <x:v>Добавляется к базовому лагу Optimize → Core</x:v>
      </x:c>
      <x:c r="H13" t="str">
        <x:v>Сильный стресс</x:v>
      </x:c>
      <x:c r="I13" s="55" t="n">
        <x:f>SUM(B99:M99)</x:f>
        <x:v>27101774.121579695</x:v>
      </x:c>
      <x:c r="J13" s="55" t="n">
        <x:f>SUM(B106:M106)</x:f>
        <x:v>-37016426.11273625</x:v>
      </x:c>
      <x:c r="K13" s="57" t="n">
        <x:f>AK118</x:f>
        <x:v>28</x:v>
      </x:c>
      <x:c r="L13" s="57" t="n">
        <x:f>AK115</x:f>
        <x:v>4</x:v>
      </x:c>
      <x:c r="M13" t="str">
        <x:f>IF(MIN(B111:AK111)&gt;=0,"ХВАТАЕТ","НЕ ХВАТАЕТ")</x:f>
        <x:v>НЕ ХВАТАЕТ</x:v>
      </x:c>
      <x:c r="N13" t="str">
        <x:f>IF(MIN(B111:AK111)&gt;='Допущения'!$D$26,"ХВАТАЕТ","НИЖЕ РЕЗЕРВА")</x:f>
        <x:v>НИЖЕ РЕЗЕРВА</x:v>
      </x:c>
      <x:c r="O13" s="55" t="n">
        <x:f>AK111</x:f>
        <x:v>-61426409.36599293</x:v>
      </x:c>
      <x:c r="P13" t="str">
        <x:v>Сильное падение конверсии, 60-дневная задержка оплаты и рост стоимости исполнения.</x:v>
      </x:c>
    </x:row>
    <x:row r="14">
      <x:c r="A14" t="str">
        <x:v>Условная эффективная налоговая нагрузка</x:v>
      </x:c>
      <x:c r="B14" s="173" t="n">
        <x:v>0</x:v>
      </x:c>
      <x:c r="C14" s="173" t="n">
        <x:v>0.1</x:v>
      </x:c>
      <x:c r="D14" s="173" t="n">
        <x:v>0.15</x:v>
      </x:c>
      <x:c r="E14" s="173" t="n">
        <x:v>0.2</x:v>
      </x:c>
      <x:c r="F14" t="str">
        <x:v>Чувствительность, не налоговая консультация</x:v>
      </x:c>
      <x:c r="H14" t="str">
        <x:v>Экстремальный стресс</x:v>
      </x:c>
      <x:c r="I14" s="55" t="n">
        <x:f>SUM(B131:M131)</x:f>
        <x:v>15422461.129813831</x:v>
      </x:c>
      <x:c r="J14" s="55" t="n">
        <x:f>SUM(B138:M138)</x:f>
        <x:v>-47288415.65532322</x:v>
      </x:c>
      <x:c r="K14" s="57" t="n">
        <x:f>AK150</x:f>
        <x:v>0</x:v>
      </x:c>
      <x:c r="L14" s="57" t="n">
        <x:f>AK147</x:f>
        <x:v>4</x:v>
      </x:c>
      <x:c r="M14" t="str">
        <x:f>IF(MIN(B143:AK143)&gt;=0,"ХВАТАЕТ","НЕ ХВАТАЕТ")</x:f>
        <x:v>НЕ ХВАТАЕТ</x:v>
      </x:c>
      <x:c r="N14" t="str">
        <x:f>IF(MIN(B143:AK143)&gt;='Допущения'!$D$26,"ХВАТАЕТ","НИЖЕ РЕЗЕРВА")</x:f>
        <x:v>НИЖЕ РЕЗЕРВА</x:v>
      </x:c>
      <x:c r="O14" s="55" t="n">
        <x:f>AK143</x:f>
        <x:v>-124383169.96426122</x:v>
      </x:c>
      <x:c r="P14" t="str">
        <x:v>Экстремальный стресс: сильное падение воронки и цены, рост себестоимости и оттока.</x:v>
      </x:c>
    </x:row>
    <x:row r="15">
      <x:c r="A15" t="str">
        <x:v>Множитель ФОТ и найма</x:v>
      </x:c>
      <x:c r="B15" s="173" t="n">
        <x:v>1</x:v>
      </x:c>
      <x:c r="C15" s="173" t="n">
        <x:v>1.05</x:v>
      </x:c>
      <x:c r="D15" s="173" t="n">
        <x:v>1.1</x:v>
      </x:c>
      <x:c r="E15" s="173" t="n">
        <x:v>1.15</x:v>
      </x:c>
      <x:c r="F15" t="str">
        <x:v>Давление на стоимость команды</x:v>
      </x:c>
    </x:row>
    <x:row r="16" ht="26" customHeight="1">
      <x:c r="H16" s="170" t="str">
        <x:v>Ключевой вывод для инвестиционного комитета</x:v>
      </x:c>
      <x:c r="I16" s="170"/>
      <x:c r="J16" s="170"/>
      <x:c r="K16" s="170"/>
      <x:c r="L16" s="170"/>
      <x:c r="M16" s="170"/>
      <x:c r="N16" s="170"/>
      <x:c r="O16" s="170"/>
      <x:c r="P16" s="170"/>
    </x:row>
    <x:row r="17" ht="26" customHeight="1">
      <x:c r="H17" s="170" t="str">
        <x:v>Проверка</x:v>
      </x:c>
      <x:c r="I17" s="170" t="str">
        <x:v>Базовый</x:v>
      </x:c>
      <x:c r="J17" s="170" t="str">
        <x:v>Мягкий стресс</x:v>
      </x:c>
      <x:c r="K17" s="170" t="str">
        <x:v>Сильный стресс</x:v>
      </x:c>
      <x:c r="L17" s="170" t="str">
        <x:v>Экстремальный стресс</x:v>
      </x:c>
    </x:row>
    <x:row r="18">
      <x:c r="H18" t="str">
        <x:v>15 млн ₽ не уходят ниже нуля</x:v>
      </x:c>
      <x:c r="I18" t="str">
        <x:f>IF(M11="ХВАТАЕТ","ДА","НЕТ")</x:f>
        <x:v>ДА</x:v>
      </x:c>
      <x:c r="J18" t="str">
        <x:f>IF(M12="ХВАТАЕТ","ДА","НЕТ")</x:f>
        <x:v>НЕТ</x:v>
      </x:c>
      <x:c r="K18" t="str">
        <x:f>IF(M13="ХВАТАЕТ","ДА","НЕТ")</x:f>
        <x:v>НЕТ</x:v>
      </x:c>
      <x:c r="L18" t="str">
        <x:f>IF(M14="ХВАТАЕТ","ДА","НЕТ")</x:f>
        <x:v>НЕТ</x:v>
      </x:c>
    </x:row>
    <x:row r="19">
      <x:c r="H19" t="str">
        <x:v>Сохраняется резерв 2,8 млн ₽</x:v>
      </x:c>
      <x:c r="I19" t="str">
        <x:f>IF(N11="ХВАТАЕТ","ДА","НЕТ")</x:f>
        <x:v>ДА</x:v>
      </x:c>
      <x:c r="J19" t="str">
        <x:f>IF(N12="ХВАТАЕТ","ДА","НЕТ")</x:f>
        <x:v>НЕТ</x:v>
      </x:c>
      <x:c r="K19" t="str">
        <x:f>IF(N13="ХВАТАЕТ","ДА","НЕТ")</x:f>
        <x:v>НЕТ</x:v>
      </x:c>
      <x:c r="L19" t="str">
        <x:f>IF(N14="ХВАТАЕТ","ДА","НЕТ")</x:f>
        <x:v>НЕТ</x:v>
      </x:c>
    </x:row>
    <x:row r="20">
      <x:c r="H20" t="str">
        <x:v>Первый месяц ниже резерва</x:v>
      </x:c>
      <x:c r="I20" t="n">
        <x:f>O5</x:f>
        <x:v>0</x:v>
      </x:c>
      <x:c r="J20" t="n">
        <x:f>O6</x:f>
        <x:v>4</x:v>
      </x:c>
      <x:c r="K20" t="n">
        <x:f>O7</x:f>
        <x:v>4</x:v>
      </x:c>
      <x:c r="L20" t="n">
        <x:f>O8</x:f>
        <x:v>4</x:v>
      </x:c>
    </x:row>
    <x:row r="21">
      <x:c r="H21" t="str">
        <x:v>Дополнительный капитал до резерва, ₽</x:v>
      </x:c>
      <x:c r="I21" s="55" t="n">
        <x:f>P5</x:f>
        <x:v>0</x:v>
      </x:c>
      <x:c r="J21" s="55" t="n">
        <x:f>P6</x:f>
        <x:v>16523729.023769468</x:v>
      </x:c>
      <x:c r="K21" s="55" t="n">
        <x:f>P7</x:f>
        <x:v>67186773.53440799</x:v>
      </x:c>
      <x:c r="L21" s="55" t="n">
        <x:f>P8</x:f>
        <x:v>127183169.96426122</x:v>
      </x:c>
    </x:row>
    <x:row r="26" ht="26" customHeight="1">
      <x:c r="A26" s="170" t="str">
        <x:v>Базовый — помесячная модель</x:v>
      </x:c>
      <x:c r="B26" s="170"/>
      <x:c r="C26" s="170"/>
      <x:c r="D26" s="170"/>
      <x:c r="E26" s="170"/>
      <x:c r="F26" s="170"/>
      <x:c r="G26" s="170"/>
      <x:c r="H26" s="170"/>
      <x:c r="I26" s="170"/>
      <x:c r="J26" s="170"/>
      <x:c r="K26" s="170"/>
      <x:c r="L26" s="170"/>
      <x:c r="M26" s="170"/>
      <x:c r="N26" s="170"/>
      <x:c r="O26" s="170"/>
      <x:c r="P26" s="170"/>
      <x:c r="Q26" s="170"/>
      <x:c r="R26" s="170"/>
      <x:c r="S26" s="170"/>
      <x:c r="T26" s="170"/>
      <x:c r="U26" s="170"/>
      <x:c r="V26" s="170"/>
      <x:c r="W26" s="170"/>
      <x:c r="X26" s="170"/>
      <x:c r="Y26" s="170"/>
      <x:c r="Z26" s="170"/>
      <x:c r="AA26" s="170"/>
      <x:c r="AB26" s="170"/>
      <x:c r="AC26" s="170"/>
      <x:c r="AD26" s="170"/>
      <x:c r="AE26" s="170"/>
      <x:c r="AF26" s="170"/>
      <x:c r="AG26" s="170"/>
      <x:c r="AH26" s="170"/>
      <x:c r="AI26" s="170"/>
      <x:c r="AJ26" s="170"/>
      <x:c r="AK26" s="170"/>
    </x:row>
    <x:row r="27" ht="26" customHeight="1">
      <x:c r="A27" s="170" t="str">
        <x:v>Показатель</x:v>
      </x:c>
      <x:c r="B27" s="170" t="str">
        <x:v>М1</x:v>
      </x:c>
      <x:c r="C27" s="170" t="str">
        <x:v>М2</x:v>
      </x:c>
      <x:c r="D27" s="170" t="str">
        <x:v>М3</x:v>
      </x:c>
      <x:c r="E27" s="170" t="str">
        <x:v>М4</x:v>
      </x:c>
      <x:c r="F27" s="170" t="str">
        <x:v>М5</x:v>
      </x:c>
      <x:c r="G27" s="170" t="str">
        <x:v>М6</x:v>
      </x:c>
      <x:c r="H27" s="170" t="str">
        <x:v>М7</x:v>
      </x:c>
      <x:c r="I27" s="170" t="str">
        <x:v>М8</x:v>
      </x:c>
      <x:c r="J27" s="170" t="str">
        <x:v>М9</x:v>
      </x:c>
      <x:c r="K27" s="170" t="str">
        <x:v>М10</x:v>
      </x:c>
      <x:c r="L27" s="170" t="str">
        <x:v>М11</x:v>
      </x:c>
      <x:c r="M27" s="170" t="str">
        <x:v>М12</x:v>
      </x:c>
      <x:c r="N27" s="170" t="str">
        <x:v>М13</x:v>
      </x:c>
      <x:c r="O27" s="170" t="str">
        <x:v>М14</x:v>
      </x:c>
      <x:c r="P27" s="170" t="str">
        <x:v>М15</x:v>
      </x:c>
      <x:c r="Q27" s="170" t="str">
        <x:v>М16</x:v>
      </x:c>
      <x:c r="R27" s="170" t="str">
        <x:v>М17</x:v>
      </x:c>
      <x:c r="S27" s="170" t="str">
        <x:v>М18</x:v>
      </x:c>
      <x:c r="T27" s="170" t="str">
        <x:v>М19</x:v>
      </x:c>
      <x:c r="U27" s="170" t="str">
        <x:v>М20</x:v>
      </x:c>
      <x:c r="V27" s="170" t="str">
        <x:v>М21</x:v>
      </x:c>
      <x:c r="W27" s="170" t="str">
        <x:v>М22</x:v>
      </x:c>
      <x:c r="X27" s="170" t="str">
        <x:v>М23</x:v>
      </x:c>
      <x:c r="Y27" s="170" t="str">
        <x:v>М24</x:v>
      </x:c>
      <x:c r="Z27" s="170" t="str">
        <x:v>М25</x:v>
      </x:c>
      <x:c r="AA27" s="170" t="str">
        <x:v>М26</x:v>
      </x:c>
      <x:c r="AB27" s="170" t="str">
        <x:v>М27</x:v>
      </x:c>
      <x:c r="AC27" s="170" t="str">
        <x:v>М28</x:v>
      </x:c>
      <x:c r="AD27" s="170" t="str">
        <x:v>М29</x:v>
      </x:c>
      <x:c r="AE27" s="170" t="str">
        <x:v>М30</x:v>
      </x:c>
      <x:c r="AF27" s="170" t="str">
        <x:v>М31</x:v>
      </x:c>
      <x:c r="AG27" s="170" t="str">
        <x:v>М32</x:v>
      </x:c>
      <x:c r="AH27" s="170" t="str">
        <x:v>М33</x:v>
      </x:c>
      <x:c r="AI27" s="170" t="str">
        <x:v>М34</x:v>
      </x:c>
      <x:c r="AJ27" s="170" t="str">
        <x:v>М35</x:v>
      </x:c>
      <x:c r="AK27" s="170" t="str">
        <x:v>М36</x:v>
      </x:c>
    </x:row>
    <x:row r="28">
      <x:c r="A28" s="32" t="str">
        <x:v>Аудиты</x:v>
      </x:c>
      <x:c r="B28" s="98" t="n">
        <x:f>'План аудитов'!B5*$B$5</x:f>
        <x:v>2</x:v>
      </x:c>
      <x:c r="C28" s="98" t="n">
        <x:f>'План аудитов'!C5*$B$5</x:f>
        <x:v>3</x:v>
      </x:c>
      <x:c r="D28" s="98" t="n">
        <x:f>'План аудитов'!D5*$B$5</x:f>
        <x:v>3</x:v>
      </x:c>
      <x:c r="E28" s="98" t="n">
        <x:f>'План аудитов'!E5*$B$5</x:f>
        <x:v>4</x:v>
      </x:c>
      <x:c r="F28" s="98" t="n">
        <x:f>'План аудитов'!F5*$B$5</x:f>
        <x:v>4</x:v>
      </x:c>
      <x:c r="G28" s="98" t="n">
        <x:f>'План аудитов'!G5*$B$5</x:f>
        <x:v>4</x:v>
      </x:c>
      <x:c r="H28" s="98" t="n">
        <x:f>'План аудитов'!H5*$B$5</x:f>
        <x:v>5</x:v>
      </x:c>
      <x:c r="I28" s="98" t="n">
        <x:f>'План аудитов'!I5*$B$5</x:f>
        <x:v>5</x:v>
      </x:c>
      <x:c r="J28" s="98" t="n">
        <x:f>'План аудитов'!J5*$B$5</x:f>
        <x:v>5</x:v>
      </x:c>
      <x:c r="K28" s="98" t="n">
        <x:f>'План аудитов'!K5*$B$5</x:f>
        <x:v>5</x:v>
      </x:c>
      <x:c r="L28" s="98" t="n">
        <x:f>'План аудитов'!L5*$B$5</x:f>
        <x:v>5</x:v>
      </x:c>
      <x:c r="M28" s="98" t="n">
        <x:f>'План аудитов'!M5*$B$5</x:f>
        <x:v>5</x:v>
      </x:c>
      <x:c r="N28" s="98" t="n">
        <x:f>'План аудитов'!N5*$B$5</x:f>
        <x:v>6</x:v>
      </x:c>
      <x:c r="O28" s="98" t="n">
        <x:f>'План аудитов'!O5*$B$5</x:f>
        <x:v>6</x:v>
      </x:c>
      <x:c r="P28" s="98" t="n">
        <x:f>'План аудитов'!P5*$B$5</x:f>
        <x:v>6</x:v>
      </x:c>
      <x:c r="Q28" s="98" t="n">
        <x:f>'План аудитов'!Q5*$B$5</x:f>
        <x:v>6</x:v>
      </x:c>
      <x:c r="R28" s="98" t="n">
        <x:f>'План аудитов'!R5*$B$5</x:f>
        <x:v>6</x:v>
      </x:c>
      <x:c r="S28" s="98" t="n">
        <x:f>'План аудитов'!S5*$B$5</x:f>
        <x:v>6</x:v>
      </x:c>
      <x:c r="T28" s="98" t="n">
        <x:f>'План аудитов'!T5*$B$5</x:f>
        <x:v>6</x:v>
      </x:c>
      <x:c r="U28" s="98" t="n">
        <x:f>'План аудитов'!U5*$B$5</x:f>
        <x:v>6</x:v>
      </x:c>
      <x:c r="V28" s="98" t="n">
        <x:f>'План аудитов'!V5*$B$5</x:f>
        <x:v>6</x:v>
      </x:c>
      <x:c r="W28" s="98" t="n">
        <x:f>'План аудитов'!W5*$B$5</x:f>
        <x:v>6</x:v>
      </x:c>
      <x:c r="X28" s="98" t="n">
        <x:f>'План аудитов'!X5*$B$5</x:f>
        <x:v>6</x:v>
      </x:c>
      <x:c r="Y28" s="98" t="n">
        <x:f>'План аудитов'!Y5*$B$5</x:f>
        <x:v>6</x:v>
      </x:c>
      <x:c r="Z28" s="98" t="n">
        <x:f>'План аудитов'!Z5*$B$5</x:f>
        <x:v>10</x:v>
      </x:c>
      <x:c r="AA28" s="98" t="n">
        <x:f>'План аудитов'!AA5*$B$5</x:f>
        <x:v>10</x:v>
      </x:c>
      <x:c r="AB28" s="98" t="n">
        <x:f>'План аудитов'!AB5*$B$5</x:f>
        <x:v>10</x:v>
      </x:c>
      <x:c r="AC28" s="98" t="n">
        <x:f>'План аудитов'!AC5*$B$5</x:f>
        <x:v>10</x:v>
      </x:c>
      <x:c r="AD28" s="98" t="n">
        <x:f>'План аудитов'!AD5*$B$5</x:f>
        <x:v>10</x:v>
      </x:c>
      <x:c r="AE28" s="98" t="n">
        <x:f>'План аудитов'!AE5*$B$5</x:f>
        <x:v>10</x:v>
      </x:c>
      <x:c r="AF28" s="98" t="n">
        <x:f>'План аудитов'!AF5*$B$5</x:f>
        <x:v>10</x:v>
      </x:c>
      <x:c r="AG28" s="98" t="n">
        <x:f>'План аудитов'!AG5*$B$5</x:f>
        <x:v>10</x:v>
      </x:c>
      <x:c r="AH28" s="98" t="n">
        <x:f>'План аудитов'!AH5*$B$5</x:f>
        <x:v>10</x:v>
      </x:c>
      <x:c r="AI28" s="98" t="n">
        <x:f>'План аудитов'!AI5*$B$5</x:f>
        <x:v>10</x:v>
      </x:c>
      <x:c r="AJ28" s="98" t="n">
        <x:f>'План аудитов'!AJ5*$B$5</x:f>
        <x:v>10</x:v>
      </x:c>
      <x:c r="AK28" s="98" t="n">
        <x:f>'План аудитов'!AK5*$B$5</x:f>
        <x:v>10</x:v>
      </x:c>
    </x:row>
    <x:row r="29">
      <x:c r="A29" s="32" t="str">
        <x:v>Оптимизации</x:v>
      </x:c>
      <x:c r="B29" s="98" t="n">
        <x:f>B28*'Допущения'!$D$5*$B$6</x:f>
        <x:v>1.1</x:v>
      </x:c>
      <x:c r="C29" s="98" t="n">
        <x:f>C28*'Допущения'!$D$5*$B$6</x:f>
        <x:v>1.6500000000000001</x:v>
      </x:c>
      <x:c r="D29" s="98" t="n">
        <x:f>D28*'Допущения'!$D$5*$B$6</x:f>
        <x:v>1.6500000000000001</x:v>
      </x:c>
      <x:c r="E29" s="98" t="n">
        <x:f>E28*'Допущения'!$D$5*$B$6</x:f>
        <x:v>2.2</x:v>
      </x:c>
      <x:c r="F29" s="98" t="n">
        <x:f>F28*'Допущения'!$D$5*$B$6</x:f>
        <x:v>2.2</x:v>
      </x:c>
      <x:c r="G29" s="98" t="n">
        <x:f>G28*'Допущения'!$D$5*$B$6</x:f>
        <x:v>2.2</x:v>
      </x:c>
      <x:c r="H29" s="98" t="n">
        <x:f>H28*'Допущения'!$D$5*$B$6</x:f>
        <x:v>2.75</x:v>
      </x:c>
      <x:c r="I29" s="98" t="n">
        <x:f>I28*'Допущения'!$D$5*$B$6</x:f>
        <x:v>2.75</x:v>
      </x:c>
      <x:c r="J29" s="98" t="n">
        <x:f>J28*'Допущения'!$D$5*$B$6</x:f>
        <x:v>2.75</x:v>
      </x:c>
      <x:c r="K29" s="98" t="n">
        <x:f>K28*'Допущения'!$D$5*$B$6</x:f>
        <x:v>2.75</x:v>
      </x:c>
      <x:c r="L29" s="98" t="n">
        <x:f>L28*'Допущения'!$D$5*$B$6</x:f>
        <x:v>2.75</x:v>
      </x:c>
      <x:c r="M29" s="98" t="n">
        <x:f>M28*'Допущения'!$D$5*$B$6</x:f>
        <x:v>2.75</x:v>
      </x:c>
      <x:c r="N29" s="98" t="n">
        <x:f>N28*'Допущения'!$D$5*$B$6</x:f>
        <x:v>3.3000000000000003</x:v>
      </x:c>
      <x:c r="O29" s="98" t="n">
        <x:f>O28*'Допущения'!$D$5*$B$6</x:f>
        <x:v>3.3000000000000003</x:v>
      </x:c>
      <x:c r="P29" s="98" t="n">
        <x:f>P28*'Допущения'!$D$5*$B$6</x:f>
        <x:v>3.3000000000000003</x:v>
      </x:c>
      <x:c r="Q29" s="98" t="n">
        <x:f>Q28*'Допущения'!$D$5*$B$6</x:f>
        <x:v>3.3000000000000003</x:v>
      </x:c>
      <x:c r="R29" s="98" t="n">
        <x:f>R28*'Допущения'!$D$5*$B$6</x:f>
        <x:v>3.3000000000000003</x:v>
      </x:c>
      <x:c r="S29" s="98" t="n">
        <x:f>S28*'Допущения'!$D$5*$B$6</x:f>
        <x:v>3.3000000000000003</x:v>
      </x:c>
      <x:c r="T29" s="98" t="n">
        <x:f>T28*'Допущения'!$D$5*$B$6</x:f>
        <x:v>3.3000000000000003</x:v>
      </x:c>
      <x:c r="U29" s="98" t="n">
        <x:f>U28*'Допущения'!$D$5*$B$6</x:f>
        <x:v>3.3000000000000003</x:v>
      </x:c>
      <x:c r="V29" s="98" t="n">
        <x:f>V28*'Допущения'!$D$5*$B$6</x:f>
        <x:v>3.3000000000000003</x:v>
      </x:c>
      <x:c r="W29" s="98" t="n">
        <x:f>W28*'Допущения'!$D$5*$B$6</x:f>
        <x:v>3.3000000000000003</x:v>
      </x:c>
      <x:c r="X29" s="98" t="n">
        <x:f>X28*'Допущения'!$D$5*$B$6</x:f>
        <x:v>3.3000000000000003</x:v>
      </x:c>
      <x:c r="Y29" s="98" t="n">
        <x:f>Y28*'Допущения'!$D$5*$B$6</x:f>
        <x:v>3.3000000000000003</x:v>
      </x:c>
      <x:c r="Z29" s="98" t="n">
        <x:f>Z28*'Допущения'!$D$5*$B$6</x:f>
        <x:v>5.5</x:v>
      </x:c>
      <x:c r="AA29" s="98" t="n">
        <x:f>AA28*'Допущения'!$D$5*$B$6</x:f>
        <x:v>5.5</x:v>
      </x:c>
      <x:c r="AB29" s="98" t="n">
        <x:f>AB28*'Допущения'!$D$5*$B$6</x:f>
        <x:v>5.5</x:v>
      </x:c>
      <x:c r="AC29" s="98" t="n">
        <x:f>AC28*'Допущения'!$D$5*$B$6</x:f>
        <x:v>5.5</x:v>
      </x:c>
      <x:c r="AD29" s="98" t="n">
        <x:f>AD28*'Допущения'!$D$5*$B$6</x:f>
        <x:v>5.5</x:v>
      </x:c>
      <x:c r="AE29" s="98" t="n">
        <x:f>AE28*'Допущения'!$D$5*$B$6</x:f>
        <x:v>5.5</x:v>
      </x:c>
      <x:c r="AF29" s="98" t="n">
        <x:f>AF28*'Допущения'!$D$5*$B$6</x:f>
        <x:v>5.5</x:v>
      </x:c>
      <x:c r="AG29" s="98" t="n">
        <x:f>AG28*'Допущения'!$D$5*$B$6</x:f>
        <x:v>5.5</x:v>
      </x:c>
      <x:c r="AH29" s="98" t="n">
        <x:f>AH28*'Допущения'!$D$5*$B$6</x:f>
        <x:v>5.5</x:v>
      </x:c>
      <x:c r="AI29" s="98" t="n">
        <x:f>AI28*'Допущения'!$D$5*$B$6</x:f>
        <x:v>5.5</x:v>
      </x:c>
      <x:c r="AJ29" s="98" t="n">
        <x:f>AJ28*'Допущения'!$D$5*$B$6</x:f>
        <x:v>5.5</x:v>
      </x:c>
      <x:c r="AK29" s="98" t="n">
        <x:f>AK28*'Допущения'!$D$5*$B$6</x:f>
        <x:v>5.5</x:v>
      </x:c>
    </x:row>
    <x:row r="30">
      <x:c r="A30" s="32" t="str">
        <x:v>Новые клиенты Ядра QORSYS</x:v>
      </x:c>
      <x:c r="B30" s="98" t="n">
        <x:f>IF(('Допущения'!$D$17+$B$13)=1,0*'Допущения'!$D$5*$B$6*'Допущения'!$D$6*$B$7,IF(('Допущения'!$D$17+$B$13)=2,0*'Допущения'!$D$5*$B$6*'Допущения'!$D$6*$B$7,0))</x:f>
        <x:v>0</x:v>
      </x:c>
      <x:c r="C30" s="98" t="n">
        <x:f>IF(('Допущения'!$D$17+$B$13)=1,B28*'Допущения'!$D$5*$B$6*'Допущения'!$D$6*$B$7,IF(('Допущения'!$D$17+$B$13)=2,0*'Допущения'!$D$5*$B$6*'Допущения'!$D$6*$B$7,0))</x:f>
        <x:v>0.8800000000000001</x:v>
      </x:c>
      <x:c r="D30" s="98" t="n">
        <x:f>IF(('Допущения'!$D$17+$B$13)=1,C28*'Допущения'!$D$5*$B$6*'Допущения'!$D$6*$B$7,IF(('Допущения'!$D$17+$B$13)=2,B28*'Допущения'!$D$5*$B$6*'Допущения'!$D$6*$B$7,0))</x:f>
        <x:v>1.3200000000000003</x:v>
      </x:c>
      <x:c r="E30" s="98" t="n">
        <x:f>IF(('Допущения'!$D$17+$B$13)=1,D28*'Допущения'!$D$5*$B$6*'Допущения'!$D$6*$B$7,IF(('Допущения'!$D$17+$B$13)=2,C28*'Допущения'!$D$5*$B$6*'Допущения'!$D$6*$B$7,0))</x:f>
        <x:v>1.3200000000000003</x:v>
      </x:c>
      <x:c r="F30" s="98" t="n">
        <x:f>IF(('Допущения'!$D$17+$B$13)=1,E28*'Допущения'!$D$5*$B$6*'Допущения'!$D$6*$B$7,IF(('Допущения'!$D$17+$B$13)=2,D28*'Допущения'!$D$5*$B$6*'Допущения'!$D$6*$B$7,0))</x:f>
        <x:v>1.7600000000000002</x:v>
      </x:c>
      <x:c r="G30" s="98" t="n">
        <x:f>IF(('Допущения'!$D$17+$B$13)=1,F28*'Допущения'!$D$5*$B$6*'Допущения'!$D$6*$B$7,IF(('Допущения'!$D$17+$B$13)=2,E28*'Допущения'!$D$5*$B$6*'Допущения'!$D$6*$B$7,0))</x:f>
        <x:v>1.7600000000000002</x:v>
      </x:c>
      <x:c r="H30" s="98" t="n">
        <x:f>IF(('Допущения'!$D$17+$B$13)=1,G28*'Допущения'!$D$5*$B$6*'Допущения'!$D$6*$B$7,IF(('Допущения'!$D$17+$B$13)=2,F28*'Допущения'!$D$5*$B$6*'Допущения'!$D$6*$B$7,0))</x:f>
        <x:v>1.7600000000000002</x:v>
      </x:c>
      <x:c r="I30" s="98" t="n">
        <x:f>IF(('Допущения'!$D$17+$B$13)=1,H28*'Допущения'!$D$5*$B$6*'Допущения'!$D$6*$B$7,IF(('Допущения'!$D$17+$B$13)=2,G28*'Допущения'!$D$5*$B$6*'Допущения'!$D$6*$B$7,0))</x:f>
        <x:v>2.2</x:v>
      </x:c>
      <x:c r="J30" s="98" t="n">
        <x:f>IF(('Допущения'!$D$17+$B$13)=1,I28*'Допущения'!$D$5*$B$6*'Допущения'!$D$6*$B$7,IF(('Допущения'!$D$17+$B$13)=2,H28*'Допущения'!$D$5*$B$6*'Допущения'!$D$6*$B$7,0))</x:f>
        <x:v>2.2</x:v>
      </x:c>
      <x:c r="K30" s="98" t="n">
        <x:f>IF(('Допущения'!$D$17+$B$13)=1,J28*'Допущения'!$D$5*$B$6*'Допущения'!$D$6*$B$7,IF(('Допущения'!$D$17+$B$13)=2,I28*'Допущения'!$D$5*$B$6*'Допущения'!$D$6*$B$7,0))</x:f>
        <x:v>2.2</x:v>
      </x:c>
      <x:c r="L30" s="98" t="n">
        <x:f>IF(('Допущения'!$D$17+$B$13)=1,K28*'Допущения'!$D$5*$B$6*'Допущения'!$D$6*$B$7,IF(('Допущения'!$D$17+$B$13)=2,J28*'Допущения'!$D$5*$B$6*'Допущения'!$D$6*$B$7,0))</x:f>
        <x:v>2.2</x:v>
      </x:c>
      <x:c r="M30" s="98" t="n">
        <x:f>IF(('Допущения'!$D$17+$B$13)=1,L28*'Допущения'!$D$5*$B$6*'Допущения'!$D$6*$B$7,IF(('Допущения'!$D$17+$B$13)=2,K28*'Допущения'!$D$5*$B$6*'Допущения'!$D$6*$B$7,0))</x:f>
        <x:v>2.2</x:v>
      </x:c>
      <x:c r="N30" s="98" t="n">
        <x:f>IF(('Допущения'!$D$17+$B$13)=1,M28*'Допущения'!$D$5*$B$6*'Допущения'!$D$6*$B$7,IF(('Допущения'!$D$17+$B$13)=2,L28*'Допущения'!$D$5*$B$6*'Допущения'!$D$6*$B$7,0))</x:f>
        <x:v>2.2</x:v>
      </x:c>
      <x:c r="O30" s="98" t="n">
        <x:f>IF(('Допущения'!$D$17+$B$13)=1,N28*'Допущения'!$D$5*$B$6*'Допущения'!$D$6*$B$7,IF(('Допущения'!$D$17+$B$13)=2,M28*'Допущения'!$D$5*$B$6*'Допущения'!$D$6*$B$7,0))</x:f>
        <x:v>2.6400000000000006</x:v>
      </x:c>
      <x:c r="P30" s="98" t="n">
        <x:f>IF(('Допущения'!$D$17+$B$13)=1,O28*'Допущения'!$D$5*$B$6*'Допущения'!$D$6*$B$7,IF(('Допущения'!$D$17+$B$13)=2,N28*'Допущения'!$D$5*$B$6*'Допущения'!$D$6*$B$7,0))</x:f>
        <x:v>2.6400000000000006</x:v>
      </x:c>
      <x:c r="Q30" s="98" t="n">
        <x:f>IF(('Допущения'!$D$17+$B$13)=1,P28*'Допущения'!$D$5*$B$6*'Допущения'!$D$6*$B$7,IF(('Допущения'!$D$17+$B$13)=2,O28*'Допущения'!$D$5*$B$6*'Допущения'!$D$6*$B$7,0))</x:f>
        <x:v>2.6400000000000006</x:v>
      </x:c>
      <x:c r="R30" s="98" t="n">
        <x:f>IF(('Допущения'!$D$17+$B$13)=1,Q28*'Допущения'!$D$5*$B$6*'Допущения'!$D$6*$B$7,IF(('Допущения'!$D$17+$B$13)=2,P28*'Допущения'!$D$5*$B$6*'Допущения'!$D$6*$B$7,0))</x:f>
        <x:v>2.6400000000000006</x:v>
      </x:c>
      <x:c r="S30" s="98" t="n">
        <x:f>IF(('Допущения'!$D$17+$B$13)=1,R28*'Допущения'!$D$5*$B$6*'Допущения'!$D$6*$B$7,IF(('Допущения'!$D$17+$B$13)=2,Q28*'Допущения'!$D$5*$B$6*'Допущения'!$D$6*$B$7,0))</x:f>
        <x:v>2.6400000000000006</x:v>
      </x:c>
      <x:c r="T30" s="98" t="n">
        <x:f>IF(('Допущения'!$D$17+$B$13)=1,S28*'Допущения'!$D$5*$B$6*'Допущения'!$D$6*$B$7,IF(('Допущения'!$D$17+$B$13)=2,R28*'Допущения'!$D$5*$B$6*'Допущения'!$D$6*$B$7,0))</x:f>
        <x:v>2.6400000000000006</x:v>
      </x:c>
      <x:c r="U30" s="98" t="n">
        <x:f>IF(('Допущения'!$D$17+$B$13)=1,T28*'Допущения'!$D$5*$B$6*'Допущения'!$D$6*$B$7,IF(('Допущения'!$D$17+$B$13)=2,S28*'Допущения'!$D$5*$B$6*'Допущения'!$D$6*$B$7,0))</x:f>
        <x:v>2.6400000000000006</x:v>
      </x:c>
      <x:c r="V30" s="98" t="n">
        <x:f>IF(('Допущения'!$D$17+$B$13)=1,U28*'Допущения'!$D$5*$B$6*'Допущения'!$D$6*$B$7,IF(('Допущения'!$D$17+$B$13)=2,T28*'Допущения'!$D$5*$B$6*'Допущения'!$D$6*$B$7,0))</x:f>
        <x:v>2.6400000000000006</x:v>
      </x:c>
      <x:c r="W30" s="98" t="n">
        <x:f>IF(('Допущения'!$D$17+$B$13)=1,V28*'Допущения'!$D$5*$B$6*'Допущения'!$D$6*$B$7,IF(('Допущения'!$D$17+$B$13)=2,U28*'Допущения'!$D$5*$B$6*'Допущения'!$D$6*$B$7,0))</x:f>
        <x:v>2.6400000000000006</x:v>
      </x:c>
      <x:c r="X30" s="98" t="n">
        <x:f>IF(('Допущения'!$D$17+$B$13)=1,W28*'Допущения'!$D$5*$B$6*'Допущения'!$D$6*$B$7,IF(('Допущения'!$D$17+$B$13)=2,V28*'Допущения'!$D$5*$B$6*'Допущения'!$D$6*$B$7,0))</x:f>
        <x:v>2.6400000000000006</x:v>
      </x:c>
      <x:c r="Y30" s="98" t="n">
        <x:f>IF(('Допущения'!$D$17+$B$13)=1,X28*'Допущения'!$D$5*$B$6*'Допущения'!$D$6*$B$7,IF(('Допущения'!$D$17+$B$13)=2,W28*'Допущения'!$D$5*$B$6*'Допущения'!$D$6*$B$7,0))</x:f>
        <x:v>2.6400000000000006</x:v>
      </x:c>
      <x:c r="Z30" s="98" t="n">
        <x:f>IF(('Допущения'!$D$17+$B$13)=1,Y28*'Допущения'!$D$5*$B$6*'Допущения'!$D$6*$B$7,IF(('Допущения'!$D$17+$B$13)=2,X28*'Допущения'!$D$5*$B$6*'Допущения'!$D$6*$B$7,0))</x:f>
        <x:v>2.6400000000000006</x:v>
      </x:c>
      <x:c r="AA30" s="98" t="n">
        <x:f>IF(('Допущения'!$D$17+$B$13)=1,Z28*'Допущения'!$D$5*$B$6*'Допущения'!$D$6*$B$7,IF(('Допущения'!$D$17+$B$13)=2,Y28*'Допущения'!$D$5*$B$6*'Допущения'!$D$6*$B$7,0))</x:f>
        <x:v>4.4</x:v>
      </x:c>
      <x:c r="AB30" s="98" t="n">
        <x:f>IF(('Допущения'!$D$17+$B$13)=1,AA28*'Допущения'!$D$5*$B$6*'Допущения'!$D$6*$B$7,IF(('Допущения'!$D$17+$B$13)=2,Z28*'Допущения'!$D$5*$B$6*'Допущения'!$D$6*$B$7,0))</x:f>
        <x:v>4.4</x:v>
      </x:c>
      <x:c r="AC30" s="98" t="n">
        <x:f>IF(('Допущения'!$D$17+$B$13)=1,AB28*'Допущения'!$D$5*$B$6*'Допущения'!$D$6*$B$7,IF(('Допущения'!$D$17+$B$13)=2,AA28*'Допущения'!$D$5*$B$6*'Допущения'!$D$6*$B$7,0))</x:f>
        <x:v>4.4</x:v>
      </x:c>
      <x:c r="AD30" s="98" t="n">
        <x:f>IF(('Допущения'!$D$17+$B$13)=1,AC28*'Допущения'!$D$5*$B$6*'Допущения'!$D$6*$B$7,IF(('Допущения'!$D$17+$B$13)=2,AB28*'Допущения'!$D$5*$B$6*'Допущения'!$D$6*$B$7,0))</x:f>
        <x:v>4.4</x:v>
      </x:c>
      <x:c r="AE30" s="98" t="n">
        <x:f>IF(('Допущения'!$D$17+$B$13)=1,AD28*'Допущения'!$D$5*$B$6*'Допущения'!$D$6*$B$7,IF(('Допущения'!$D$17+$B$13)=2,AC28*'Допущения'!$D$5*$B$6*'Допущения'!$D$6*$B$7,0))</x:f>
        <x:v>4.4</x:v>
      </x:c>
      <x:c r="AF30" s="98" t="n">
        <x:f>IF(('Допущения'!$D$17+$B$13)=1,AE28*'Допущения'!$D$5*$B$6*'Допущения'!$D$6*$B$7,IF(('Допущения'!$D$17+$B$13)=2,AD28*'Допущения'!$D$5*$B$6*'Допущения'!$D$6*$B$7,0))</x:f>
        <x:v>4.4</x:v>
      </x:c>
      <x:c r="AG30" s="98" t="n">
        <x:f>IF(('Допущения'!$D$17+$B$13)=1,AF28*'Допущения'!$D$5*$B$6*'Допущения'!$D$6*$B$7,IF(('Допущения'!$D$17+$B$13)=2,AE28*'Допущения'!$D$5*$B$6*'Допущения'!$D$6*$B$7,0))</x:f>
        <x:v>4.4</x:v>
      </x:c>
      <x:c r="AH30" s="98" t="n">
        <x:f>IF(('Допущения'!$D$17+$B$13)=1,AG28*'Допущения'!$D$5*$B$6*'Допущения'!$D$6*$B$7,IF(('Допущения'!$D$17+$B$13)=2,AF28*'Допущения'!$D$5*$B$6*'Допущения'!$D$6*$B$7,0))</x:f>
        <x:v>4.4</x:v>
      </x:c>
      <x:c r="AI30" s="98" t="n">
        <x:f>IF(('Допущения'!$D$17+$B$13)=1,AH28*'Допущения'!$D$5*$B$6*'Допущения'!$D$6*$B$7,IF(('Допущения'!$D$17+$B$13)=2,AG28*'Допущения'!$D$5*$B$6*'Допущения'!$D$6*$B$7,0))</x:f>
        <x:v>4.4</x:v>
      </x:c>
      <x:c r="AJ30" s="98" t="n">
        <x:f>IF(('Допущения'!$D$17+$B$13)=1,AI28*'Допущения'!$D$5*$B$6*'Допущения'!$D$6*$B$7,IF(('Допущения'!$D$17+$B$13)=2,AH28*'Допущения'!$D$5*$B$6*'Допущения'!$D$6*$B$7,0))</x:f>
        <x:v>4.4</x:v>
      </x:c>
      <x:c r="AK30" s="98" t="n">
        <x:f>IF(('Допущения'!$D$17+$B$13)=1,AJ28*'Допущения'!$D$5*$B$6*'Допущения'!$D$6*$B$7,IF(('Допущения'!$D$17+$B$13)=2,AI28*'Допущения'!$D$5*$B$6*'Допущения'!$D$6*$B$7,0))</x:f>
        <x:v>4.4</x:v>
      </x:c>
    </x:row>
    <x:row r="31">
      <x:c r="A31" s="32" t="str">
        <x:v>Отток клиентов</x:v>
      </x:c>
      <x:c r="B31" s="98" t="n">
        <x:f>0</x:f>
        <x:v>0</x:v>
      </x:c>
      <x:c r="C31" s="98" t="n">
        <x:f>B32*('Допущения'!$D$7+$B$11)</x:f>
        <x:v>0</x:v>
      </x:c>
      <x:c r="D31" s="98" t="n">
        <x:f>C32*('Допущения'!$D$7+$B$11)</x:f>
        <x:v>0.0088</x:v>
      </x:c>
      <x:c r="E31" s="98" t="n">
        <x:f>D32*('Допущения'!$D$7+$B$11)</x:f>
        <x:v>0.021912000000000004</x:v>
      </x:c>
      <x:c r="F31" s="98" t="n">
        <x:f>E32*('Допущения'!$D$7+$B$11)</x:f>
        <x:v>0.03489288000000001</x:v>
      </x:c>
      <x:c r="G31" s="98" t="n">
        <x:f>F32*('Допущения'!$D$7+$B$11)</x:f>
        <x:v>0.05214395120000001</x:v>
      </x:c>
      <x:c r="H31" s="98" t="n">
        <x:f>G32*('Допущения'!$D$7+$B$11)</x:f>
        <x:v>0.069222511688</x:v>
      </x:c>
      <x:c r="I31" s="98" t="n">
        <x:f>H32*('Допущения'!$D$7+$B$11)</x:f>
        <x:v>0.08613028657112</x:v>
      </x:c>
      <x:c r="J31" s="98" t="n">
        <x:f>I32*('Допущения'!$D$7+$B$11)</x:f>
        <x:v>0.1072689837054088</x:v>
      </x:c>
      <x:c r="K31" s="98" t="n">
        <x:f>J32*('Допущения'!$D$7+$B$11)</x:f>
        <x:v>0.1281962938683547</x:v>
      </x:c>
      <x:c r="L31" s="98" t="n">
        <x:f>K32*('Допущения'!$D$7+$B$11)</x:f>
        <x:v>0.14891433092967118</x:v>
      </x:c>
      <x:c r="M31" s="98" t="n">
        <x:f>L32*('Допущения'!$D$7+$B$11)</x:f>
        <x:v>0.16942518762037448</x:v>
      </x:c>
      <x:c r="N31" s="98" t="n">
        <x:f>M32*('Допущения'!$D$7+$B$11)</x:f>
        <x:v>0.18973093574417074</x:v>
      </x:c>
      <x:c r="O31" s="98" t="n">
        <x:f>N32*('Допущения'!$D$7+$B$11)</x:f>
        <x:v>0.20983362638672906</x:v>
      </x:c>
      <x:c r="P31" s="98" t="n">
        <x:f>O32*('Допущения'!$D$7+$B$11)</x:f>
        <x:v>0.23413529012286177</x:v>
      </x:c>
      <x:c r="Q31" s="98" t="n">
        <x:f>P32*('Допущения'!$D$7+$B$11)</x:f>
        <x:v>0.25819393722163314</x:v>
      </x:c>
      <x:c r="R31" s="98" t="n">
        <x:f>Q32*('Допущения'!$D$7+$B$11)</x:f>
        <x:v>0.28201199784941683</x:v>
      </x:c>
      <x:c r="S31" s="98" t="n">
        <x:f>R32*('Допущения'!$D$7+$B$11)</x:f>
        <x:v>0.3055918778709227</x:v>
      </x:c>
      <x:c r="T31" s="98" t="n">
        <x:f>S32*('Допущения'!$D$7+$B$11)</x:f>
        <x:v>0.32893595909221346</x:v>
      </x:c>
      <x:c r="U31" s="98" t="n">
        <x:f>T32*('Допущения'!$D$7+$B$11)</x:f>
        <x:v>0.35204659950129136</x:v>
      </x:c>
      <x:c r="V31" s="98" t="n">
        <x:f>U32*('Допущения'!$D$7+$B$11)</x:f>
        <x:v>0.3749261335062784</x:v>
      </x:c>
      <x:c r="W31" s="98" t="n">
        <x:f>V32*('Допущения'!$D$7+$B$11)</x:f>
        <x:v>0.3975768721712156</x:v>
      </x:c>
      <x:c r="X31" s="98" t="n">
        <x:f>W32*('Допущения'!$D$7+$B$11)</x:f>
        <x:v>0.42000110344950353</x:v>
      </x:c>
      <x:c r="Y31" s="98" t="n">
        <x:f>X32*('Допущения'!$D$7+$B$11)</x:f>
        <x:v>0.4422010924150085</x:v>
      </x:c>
      <x:c r="Z31" s="98" t="n">
        <x:f>Y32*('Допущения'!$D$7+$B$11)</x:f>
        <x:v>0.4641790814908584</x:v>
      </x:c>
      <x:c r="AA31" s="98" t="n">
        <x:f>Z32*('Допущения'!$D$7+$B$11)</x:f>
        <x:v>0.4859372906759498</x:v>
      </x:c>
      <x:c r="AB31" s="98" t="n">
        <x:f>AA32*('Допущения'!$D$7+$B$11)</x:f>
        <x:v>0.5250779177691903</x:v>
      </x:c>
      <x:c r="AC31" s="98" t="n">
        <x:f>AB32*('Допущения'!$D$7+$B$11)</x:f>
        <x:v>0.5638271385914984</x:v>
      </x:c>
      <x:c r="AD31" s="98" t="n">
        <x:f>AC32*('Допущения'!$D$7+$B$11)</x:f>
        <x:v>0.6021888672055834</x:v>
      </x:c>
      <x:c r="AE31" s="98" t="n">
        <x:f>AD32*('Допущения'!$D$7+$B$11)</x:f>
        <x:v>0.6401669785335276</x:v>
      </x:c>
      <x:c r="AF31" s="98" t="n">
        <x:f>AE32*('Допущения'!$D$7+$B$11)</x:f>
        <x:v>0.6777653087481923</x:v>
      </x:c>
      <x:c r="AG31" s="98" t="n">
        <x:f>AF32*('Допущения'!$D$7+$B$11)</x:f>
        <x:v>0.7149876556607104</x:v>
      </x:c>
      <x:c r="AH31" s="98" t="n">
        <x:f>AG32*('Допущения'!$D$7+$B$11)</x:f>
        <x:v>0.7518377791041034</x:v>
      </x:c>
      <x:c r="AI31" s="98" t="n">
        <x:f>AH32*('Допущения'!$D$7+$B$11)</x:f>
        <x:v>0.7883194013130624</x:v>
      </x:c>
      <x:c r="AJ31" s="98" t="n">
        <x:f>AI32*('Допущения'!$D$7+$B$11)</x:f>
        <x:v>0.8244362072999318</x:v>
      </x:c>
      <x:c r="AK31" s="98" t="n">
        <x:f>AJ32*('Допущения'!$D$7+$B$11)</x:f>
        <x:v>0.8601918452269327</x:v>
      </x:c>
    </x:row>
    <x:row r="32">
      <x:c r="A32" s="32" t="str">
        <x:v>Активные клиенты Ядра QORSYS</x:v>
      </x:c>
      <x:c r="B32" s="98" t="n">
        <x:f>B30</x:f>
        <x:v>0</x:v>
      </x:c>
      <x:c r="C32" s="98" t="n">
        <x:f>MAX(0,B32+C30-C31)</x:f>
        <x:v>0.8800000000000001</x:v>
      </x:c>
      <x:c r="D32" s="98" t="n">
        <x:f>MAX(0,C32+D30-D31)</x:f>
        <x:v>2.1912000000000003</x:v>
      </x:c>
      <x:c r="E32" s="98" t="n">
        <x:f>MAX(0,D32+E30-E31)</x:f>
        <x:v>3.4892880000000006</x:v>
      </x:c>
      <x:c r="F32" s="98" t="n">
        <x:f>MAX(0,E32+F30-F31)</x:f>
        <x:v>5.214395120000001</x:v>
      </x:c>
      <x:c r="G32" s="98" t="n">
        <x:f>MAX(0,F32+G30-G31)</x:f>
        <x:v>6.922251168800001</x:v>
      </x:c>
      <x:c r="H32" s="98" t="n">
        <x:f>MAX(0,G32+H30-H31)</x:f>
        <x:v>8.613028657112</x:v>
      </x:c>
      <x:c r="I32" s="98" t="n">
        <x:f>MAX(0,H32+I30-I31)</x:f>
        <x:v>10.72689837054088</x:v>
      </x:c>
      <x:c r="J32" s="98" t="n">
        <x:f>MAX(0,I32+J30-J31)</x:f>
        <x:v>12.819629386835471</x:v>
      </x:c>
      <x:c r="K32" s="98" t="n">
        <x:f>MAX(0,J32+K30-K31)</x:f>
        <x:v>14.891433092967118</x:v>
      </x:c>
      <x:c r="L32" s="98" t="n">
        <x:f>MAX(0,K32+L30-L31)</x:f>
        <x:v>16.942518762037448</x:v>
      </x:c>
      <x:c r="M32" s="98" t="n">
        <x:f>MAX(0,L32+M30-M31)</x:f>
        <x:v>18.973093574417074</x:v>
      </x:c>
      <x:c r="N32" s="98" t="n">
        <x:f>MAX(0,M32+N30-N31)</x:f>
        <x:v>20.983362638672904</x:v>
      </x:c>
      <x:c r="O32" s="98" t="n">
        <x:f>MAX(0,N32+O30-O31)</x:f>
        <x:v>23.413529012286176</x:v>
      </x:c>
      <x:c r="P32" s="98" t="n">
        <x:f>MAX(0,O32+P30-P31)</x:f>
        <x:v>25.819393722163316</x:v>
      </x:c>
      <x:c r="Q32" s="98" t="n">
        <x:f>MAX(0,P32+Q30-Q31)</x:f>
        <x:v>28.201199784941682</x:v>
      </x:c>
      <x:c r="R32" s="98" t="n">
        <x:f>MAX(0,Q32+R30-R31)</x:f>
        <x:v>30.559187787092267</x:v>
      </x:c>
      <x:c r="S32" s="98" t="n">
        <x:f>MAX(0,R32+S30-S31)</x:f>
        <x:v>32.89359590922135</x:v>
      </x:c>
      <x:c r="T32" s="98" t="n">
        <x:f>MAX(0,S32+T30-T31)</x:f>
        <x:v>35.204659950129134</x:v>
      </x:c>
      <x:c r="U32" s="98" t="n">
        <x:f>MAX(0,T32+U30-U31)</x:f>
        <x:v>37.49261335062784</x:v>
      </x:c>
      <x:c r="V32" s="98" t="n">
        <x:f>MAX(0,U32+V30-V31)</x:f>
        <x:v>39.757687217121564</x:v>
      </x:c>
      <x:c r="W32" s="98" t="n">
        <x:f>MAX(0,V32+W30-W31)</x:f>
        <x:v>42.00011034495035</x:v>
      </x:c>
      <x:c r="X32" s="98" t="n">
        <x:f>MAX(0,W32+X30-X31)</x:f>
        <x:v>44.22010924150085</x:v>
      </x:c>
      <x:c r="Y32" s="98" t="n">
        <x:f>MAX(0,X32+Y30-Y31)</x:f>
        <x:v>46.41790814908584</x:v>
      </x:c>
      <x:c r="Z32" s="98" t="n">
        <x:f>MAX(0,Y32+Z30-Z31)</x:f>
        <x:v>48.59372906759498</x:v>
      </x:c>
      <x:c r="AA32" s="98" t="n">
        <x:f>MAX(0,Z32+AA30-AA31)</x:f>
        <x:v>52.50779177691903</x:v>
      </x:c>
      <x:c r="AB32" s="98" t="n">
        <x:f>MAX(0,AA32+AB30-AB31)</x:f>
        <x:v>56.38271385914984</x:v>
      </x:c>
      <x:c r="AC32" s="98" t="n">
        <x:f>MAX(0,AB32+AC30-AC31)</x:f>
        <x:v>60.21888672055834</x:v>
      </x:c>
      <x:c r="AD32" s="98" t="n">
        <x:f>MAX(0,AC32+AD30-AD31)</x:f>
        <x:v>64.01669785335275</x:v>
      </x:c>
      <x:c r="AE32" s="98" t="n">
        <x:f>MAX(0,AD32+AE30-AE31)</x:f>
        <x:v>67.77653087481923</x:v>
      </x:c>
      <x:c r="AF32" s="98" t="n">
        <x:f>MAX(0,AE32+AF30-AF31)</x:f>
        <x:v>71.49876556607104</x:v>
      </x:c>
      <x:c r="AG32" s="98" t="n">
        <x:f>MAX(0,AF32+AG30-AG31)</x:f>
        <x:v>75.18377791041034</x:v>
      </x:c>
      <x:c r="AH32" s="98" t="n">
        <x:f>MAX(0,AG32+AH30-AH31)</x:f>
        <x:v>78.83194013130624</x:v>
      </x:c>
      <x:c r="AI32" s="98" t="n">
        <x:f>MAX(0,AH32+AI30-AI31)</x:f>
        <x:v>82.44362072999319</x:v>
      </x:c>
      <x:c r="AJ32" s="98" t="n">
        <x:f>MAX(0,AI32+AJ30-AJ31)</x:f>
        <x:v>86.01918452269327</x:v>
      </x:c>
      <x:c r="AK32" s="98" t="n">
        <x:f>MAX(0,AJ32+AK30-AK31)</x:f>
        <x:v>89.55899267746634</x:v>
      </x:c>
    </x:row>
    <x:row r="33">
      <x:c r="A33" s="32" t="str">
        <x:v>Выручка лицензий, ₽</x:v>
      </x:c>
      <x:c r="B33" s="55" t="n">
        <x:f>B32*'Допущения'!$D$8*$B$8</x:f>
        <x:v>0</x:v>
      </x:c>
      <x:c r="C33" s="55" t="n">
        <x:f>C32*'Допущения'!$D$8*$B$8</x:f>
        <x:v>220000.00000000003</x:v>
      </x:c>
      <x:c r="D33" s="55" t="n">
        <x:f>D32*'Допущения'!$D$8*$B$8</x:f>
        <x:v>547800.0000000001</x:v>
      </x:c>
      <x:c r="E33" s="55" t="n">
        <x:f>E32*'Допущения'!$D$8*$B$8</x:f>
        <x:v>872322.0000000001</x:v>
      </x:c>
      <x:c r="F33" s="55" t="n">
        <x:f>F32*'Допущения'!$D$8*$B$8</x:f>
        <x:v>1303598.7800000003</x:v>
      </x:c>
      <x:c r="G33" s="55" t="n">
        <x:f>G32*'Допущения'!$D$8*$B$8</x:f>
        <x:v>1730562.7922000003</x:v>
      </x:c>
      <x:c r="H33" s="55" t="n">
        <x:f>H32*'Допущения'!$D$8*$B$8</x:f>
        <x:v>2153257.164278</x:v>
      </x:c>
      <x:c r="I33" s="55" t="n">
        <x:f>I32*'Допущения'!$D$8*$B$8</x:f>
        <x:v>2681724.59263522</x:v>
      </x:c>
      <x:c r="J33" s="55" t="n">
        <x:f>J32*'Допущения'!$D$8*$B$8</x:f>
        <x:v>3204907.3467088677</x:v>
      </x:c>
      <x:c r="K33" s="55" t="n">
        <x:f>K32*'Допущения'!$D$8*$B$8</x:f>
        <x:v>3722858.2732417793</x:v>
      </x:c>
      <x:c r="L33" s="55" t="n">
        <x:f>L32*'Допущения'!$D$8*$B$8</x:f>
        <x:v>4235629.690509362</x:v>
      </x:c>
      <x:c r="M33" s="55" t="n">
        <x:f>M32*'Допущения'!$D$8*$B$8</x:f>
        <x:v>4743273.393604268</x:v>
      </x:c>
      <x:c r="N33" s="55" t="n">
        <x:f>N32*'Допущения'!$D$8*$B$8</x:f>
        <x:v>5245840.659668226</x:v>
      </x:c>
      <x:c r="O33" s="55" t="n">
        <x:f>O32*'Допущения'!$D$8*$B$8</x:f>
        <x:v>5853382.253071544</x:v>
      </x:c>
      <x:c r="P33" s="55" t="n">
        <x:f>P32*'Допущения'!$D$8*$B$8</x:f>
        <x:v>6454848.430540829</x:v>
      </x:c>
      <x:c r="Q33" s="55" t="n">
        <x:f>Q32*'Допущения'!$D$8*$B$8</x:f>
        <x:v>7050299.94623542</x:v>
      </x:c>
      <x:c r="R33" s="55" t="n">
        <x:f>R32*'Допущения'!$D$8*$B$8</x:f>
        <x:v>7639796.946773066</x:v>
      </x:c>
      <x:c r="S33" s="55" t="n">
        <x:f>S32*'Допущения'!$D$8*$B$8</x:f>
        <x:v>8223398.977305337</x:v>
      </x:c>
      <x:c r="T33" s="55" t="n">
        <x:f>T32*'Допущения'!$D$8*$B$8</x:f>
        <x:v>8801164.987532284</x:v>
      </x:c>
      <x:c r="U33" s="55" t="n">
        <x:f>U32*'Допущения'!$D$8*$B$8</x:f>
        <x:v>9373153.33765696</x:v>
      </x:c>
      <x:c r="V33" s="55" t="n">
        <x:f>V32*'Допущения'!$D$8*$B$8</x:f>
        <x:v>9939421.804280391</x:v>
      </x:c>
      <x:c r="W33" s="55" t="n">
        <x:f>W32*'Допущения'!$D$8*$B$8</x:f>
        <x:v>10500027.586237587</x:v>
      </x:c>
      <x:c r="X33" s="55" t="n">
        <x:f>X32*'Допущения'!$D$8*$B$8</x:f>
        <x:v>11055027.310375212</x:v>
      </x:c>
      <x:c r="Y33" s="55" t="n">
        <x:f>Y32*'Допущения'!$D$8*$B$8</x:f>
        <x:v>11604477.03727146</x:v>
      </x:c>
      <x:c r="Z33" s="55" t="n">
        <x:f>Z32*'Допущения'!$D$8*$B$8</x:f>
        <x:v>12148432.266898744</x:v>
      </x:c>
      <x:c r="AA33" s="55" t="n">
        <x:f>AA32*'Допущения'!$D$8*$B$8</x:f>
        <x:v>13126947.944229757</x:v>
      </x:c>
      <x:c r="AB33" s="55" t="n">
        <x:f>AB32*'Допущения'!$D$8*$B$8</x:f>
        <x:v>14095678.464787459</x:v>
      </x:c>
      <x:c r="AC33" s="55" t="n">
        <x:f>AC32*'Допущения'!$D$8*$B$8</x:f>
        <x:v>15054721.680139584</x:v>
      </x:c>
      <x:c r="AD33" s="55" t="n">
        <x:f>AD32*'Допущения'!$D$8*$B$8</x:f>
        <x:v>16004174.463338189</x:v>
      </x:c>
      <x:c r="AE33" s="55" t="n">
        <x:f>AE32*'Допущения'!$D$8*$B$8</x:f>
        <x:v>16944132.71870481</x:v>
      </x:c>
      <x:c r="AF33" s="55" t="n">
        <x:f>AF32*'Допущения'!$D$8*$B$8</x:f>
        <x:v>17874691.391517762</x:v>
      </x:c>
      <x:c r="AG33" s="55" t="n">
        <x:f>AG32*'Допущения'!$D$8*$B$8</x:f>
        <x:v>18795944.477602586</x:v>
      </x:c>
      <x:c r="AH33" s="55" t="n">
        <x:f>AH32*'Допущения'!$D$8*$B$8</x:f>
        <x:v>19707985.03282656</x:v>
      </x:c>
      <x:c r="AI33" s="55" t="n">
        <x:f>AI32*'Допущения'!$D$8*$B$8</x:f>
        <x:v>20610905.182498295</x:v>
      </x:c>
      <x:c r="AJ33" s="55" t="n">
        <x:f>AJ32*'Допущения'!$D$8*$B$8</x:f>
        <x:v>21504796.130673315</x:v>
      </x:c>
      <x:c r="AK33" s="55" t="n">
        <x:f>AK32*'Допущения'!$D$8*$B$8</x:f>
        <x:v>22389748.169366583</x:v>
      </x:c>
    </x:row>
    <x:row r="34">
      <x:c r="A34" s="32" t="str">
        <x:v>Выручка оптимизаций, ₽</x:v>
      </x:c>
      <x:c r="B34" s="55" t="n">
        <x:f>B29*'Допущения'!$D$9*$B$8</x:f>
        <x:v>1650000.0000000002</x:v>
      </x:c>
      <x:c r="C34" s="55" t="n">
        <x:f>C29*'Допущения'!$D$9*$B$8</x:f>
        <x:v>2475000</x:v>
      </x:c>
      <x:c r="D34" s="55" t="n">
        <x:f>D29*'Допущения'!$D$9*$B$8</x:f>
        <x:v>2475000</x:v>
      </x:c>
      <x:c r="E34" s="55" t="n">
        <x:f>E29*'Допущения'!$D$9*$B$8</x:f>
        <x:v>3300000.0000000005</x:v>
      </x:c>
      <x:c r="F34" s="55" t="n">
        <x:f>F29*'Допущения'!$D$9*$B$8</x:f>
        <x:v>3300000.0000000005</x:v>
      </x:c>
      <x:c r="G34" s="55" t="n">
        <x:f>G29*'Допущения'!$D$9*$B$8</x:f>
        <x:v>3300000.0000000005</x:v>
      </x:c>
      <x:c r="H34" s="55" t="n">
        <x:f>H29*'Допущения'!$D$9*$B$8</x:f>
        <x:v>4125000</x:v>
      </x:c>
      <x:c r="I34" s="55" t="n">
        <x:f>I29*'Допущения'!$D$9*$B$8</x:f>
        <x:v>4125000</x:v>
      </x:c>
      <x:c r="J34" s="55" t="n">
        <x:f>J29*'Допущения'!$D$9*$B$8</x:f>
        <x:v>4125000</x:v>
      </x:c>
      <x:c r="K34" s="55" t="n">
        <x:f>K29*'Допущения'!$D$9*$B$8</x:f>
        <x:v>4125000</x:v>
      </x:c>
      <x:c r="L34" s="55" t="n">
        <x:f>L29*'Допущения'!$D$9*$B$8</x:f>
        <x:v>4125000</x:v>
      </x:c>
      <x:c r="M34" s="55" t="n">
        <x:f>M29*'Допущения'!$D$9*$B$8</x:f>
        <x:v>4125000</x:v>
      </x:c>
      <x:c r="N34" s="55" t="n">
        <x:f>N29*'Допущения'!$D$9*$B$8</x:f>
        <x:v>4950000</x:v>
      </x:c>
      <x:c r="O34" s="55" t="n">
        <x:f>O29*'Допущения'!$D$9*$B$8</x:f>
        <x:v>4950000</x:v>
      </x:c>
      <x:c r="P34" s="55" t="n">
        <x:f>P29*'Допущения'!$D$9*$B$8</x:f>
        <x:v>4950000</x:v>
      </x:c>
      <x:c r="Q34" s="55" t="n">
        <x:f>Q29*'Допущения'!$D$9*$B$8</x:f>
        <x:v>4950000</x:v>
      </x:c>
      <x:c r="R34" s="55" t="n">
        <x:f>R29*'Допущения'!$D$9*$B$8</x:f>
        <x:v>4950000</x:v>
      </x:c>
      <x:c r="S34" s="55" t="n">
        <x:f>S29*'Допущения'!$D$9*$B$8</x:f>
        <x:v>4950000</x:v>
      </x:c>
      <x:c r="T34" s="55" t="n">
        <x:f>T29*'Допущения'!$D$9*$B$8</x:f>
        <x:v>4950000</x:v>
      </x:c>
      <x:c r="U34" s="55" t="n">
        <x:f>U29*'Допущения'!$D$9*$B$8</x:f>
        <x:v>4950000</x:v>
      </x:c>
      <x:c r="V34" s="55" t="n">
        <x:f>V29*'Допущения'!$D$9*$B$8</x:f>
        <x:v>4950000</x:v>
      </x:c>
      <x:c r="W34" s="55" t="n">
        <x:f>W29*'Допущения'!$D$9*$B$8</x:f>
        <x:v>4950000</x:v>
      </x:c>
      <x:c r="X34" s="55" t="n">
        <x:f>X29*'Допущения'!$D$9*$B$8</x:f>
        <x:v>4950000</x:v>
      </x:c>
      <x:c r="Y34" s="55" t="n">
        <x:f>Y29*'Допущения'!$D$9*$B$8</x:f>
        <x:v>4950000</x:v>
      </x:c>
      <x:c r="Z34" s="55" t="n">
        <x:f>Z29*'Допущения'!$D$9*$B$8</x:f>
        <x:v>8250000</x:v>
      </x:c>
      <x:c r="AA34" s="55" t="n">
        <x:f>AA29*'Допущения'!$D$9*$B$8</x:f>
        <x:v>8250000</x:v>
      </x:c>
      <x:c r="AB34" s="55" t="n">
        <x:f>AB29*'Допущения'!$D$9*$B$8</x:f>
        <x:v>8250000</x:v>
      </x:c>
      <x:c r="AC34" s="55" t="n">
        <x:f>AC29*'Допущения'!$D$9*$B$8</x:f>
        <x:v>8250000</x:v>
      </x:c>
      <x:c r="AD34" s="55" t="n">
        <x:f>AD29*'Допущения'!$D$9*$B$8</x:f>
        <x:v>8250000</x:v>
      </x:c>
      <x:c r="AE34" s="55" t="n">
        <x:f>AE29*'Допущения'!$D$9*$B$8</x:f>
        <x:v>8250000</x:v>
      </x:c>
      <x:c r="AF34" s="55" t="n">
        <x:f>AF29*'Допущения'!$D$9*$B$8</x:f>
        <x:v>8250000</x:v>
      </x:c>
      <x:c r="AG34" s="55" t="n">
        <x:f>AG29*'Допущения'!$D$9*$B$8</x:f>
        <x:v>8250000</x:v>
      </x:c>
      <x:c r="AH34" s="55" t="n">
        <x:f>AH29*'Допущения'!$D$9*$B$8</x:f>
        <x:v>8250000</x:v>
      </x:c>
      <x:c r="AI34" s="55" t="n">
        <x:f>AI29*'Допущения'!$D$9*$B$8</x:f>
        <x:v>8250000</x:v>
      </x:c>
      <x:c r="AJ34" s="55" t="n">
        <x:f>AJ29*'Допущения'!$D$9*$B$8</x:f>
        <x:v>8250000</x:v>
      </x:c>
      <x:c r="AK34" s="55" t="n">
        <x:f>AK29*'Допущения'!$D$9*$B$8</x:f>
        <x:v>8250000</x:v>
      </x:c>
    </x:row>
    <x:row r="35">
      <x:c r="A35" s="32" t="str">
        <x:v>Итого выручка, ₽</x:v>
      </x:c>
      <x:c r="B35" s="55" t="n">
        <x:f>SUM(B33:B34)</x:f>
        <x:v>1650000.0000000002</x:v>
      </x:c>
      <x:c r="C35" s="55" t="n">
        <x:f>SUM(C33:C34)</x:f>
        <x:v>2695000</x:v>
      </x:c>
      <x:c r="D35" s="55" t="n">
        <x:f>SUM(D33:D34)</x:f>
        <x:v>3022800</x:v>
      </x:c>
      <x:c r="E35" s="55" t="n">
        <x:f>SUM(E33:E34)</x:f>
        <x:v>4172322.0000000005</x:v>
      </x:c>
      <x:c r="F35" s="55" t="n">
        <x:f>SUM(F33:F34)</x:f>
        <x:v>4603598.780000001</x:v>
      </x:c>
      <x:c r="G35" s="55" t="n">
        <x:f>SUM(G33:G34)</x:f>
        <x:v>5030562.792200001</x:v>
      </x:c>
      <x:c r="H35" s="55" t="n">
        <x:f>SUM(H33:H34)</x:f>
        <x:v>6278257.164278001</x:v>
      </x:c>
      <x:c r="I35" s="55" t="n">
        <x:f>SUM(I33:I34)</x:f>
        <x:v>6806724.59263522</x:v>
      </x:c>
      <x:c r="J35" s="55" t="n">
        <x:f>SUM(J33:J34)</x:f>
        <x:v>7329907.346708868</x:v>
      </x:c>
      <x:c r="K35" s="55" t="n">
        <x:f>SUM(K33:K34)</x:f>
        <x:v>7847858.273241779</x:v>
      </x:c>
      <x:c r="L35" s="55" t="n">
        <x:f>SUM(L33:L34)</x:f>
        <x:v>8360629.690509362</x:v>
      </x:c>
      <x:c r="M35" s="55" t="n">
        <x:f>SUM(M33:M34)</x:f>
        <x:v>8868273.393604267</x:v>
      </x:c>
      <x:c r="N35" s="55" t="n">
        <x:f>SUM(N33:N34)</x:f>
        <x:v>10195840.659668226</x:v>
      </x:c>
      <x:c r="O35" s="55" t="n">
        <x:f>SUM(O33:O34)</x:f>
        <x:v>10803382.253071543</x:v>
      </x:c>
      <x:c r="P35" s="55" t="n">
        <x:f>SUM(P33:P34)</x:f>
        <x:v>11404848.43054083</x:v>
      </x:c>
      <x:c r="Q35" s="55" t="n">
        <x:f>SUM(Q33:Q34)</x:f>
        <x:v>12000299.94623542</x:v>
      </x:c>
      <x:c r="R35" s="55" t="n">
        <x:f>SUM(R33:R34)</x:f>
        <x:v>12589796.946773067</x:v>
      </x:c>
      <x:c r="S35" s="55" t="n">
        <x:f>SUM(S33:S34)</x:f>
        <x:v>13173398.977305338</x:v>
      </x:c>
      <x:c r="T35" s="55" t="n">
        <x:f>SUM(T33:T34)</x:f>
        <x:v>13751164.987532284</x:v>
      </x:c>
      <x:c r="U35" s="55" t="n">
        <x:f>SUM(U33:U34)</x:f>
        <x:v>14323153.33765696</x:v>
      </x:c>
      <x:c r="V35" s="55" t="n">
        <x:f>SUM(V33:V34)</x:f>
        <x:v>14889421.804280391</x:v>
      </x:c>
      <x:c r="W35" s="55" t="n">
        <x:f>SUM(W33:W34)</x:f>
        <x:v>15450027.586237587</x:v>
      </x:c>
      <x:c r="X35" s="55" t="n">
        <x:f>SUM(X33:X34)</x:f>
        <x:v>16005027.310375212</x:v>
      </x:c>
      <x:c r="Y35" s="55" t="n">
        <x:f>SUM(Y33:Y34)</x:f>
        <x:v>16554477.03727146</x:v>
      </x:c>
      <x:c r="Z35" s="55" t="n">
        <x:f>SUM(Z33:Z34)</x:f>
        <x:v>20398432.266898744</x:v>
      </x:c>
      <x:c r="AA35" s="55" t="n">
        <x:f>SUM(AA33:AA34)</x:f>
        <x:v>21376947.94422976</x:v>
      </x:c>
      <x:c r="AB35" s="55" t="n">
        <x:f>SUM(AB33:AB34)</x:f>
        <x:v>22345678.46478746</x:v>
      </x:c>
      <x:c r="AC35" s="55" t="n">
        <x:f>SUM(AC33:AC34)</x:f>
        <x:v>23304721.680139586</x:v>
      </x:c>
      <x:c r="AD35" s="55" t="n">
        <x:f>SUM(AD33:AD34)</x:f>
        <x:v>24254174.46333819</x:v>
      </x:c>
      <x:c r="AE35" s="55" t="n">
        <x:f>SUM(AE33:AE34)</x:f>
        <x:v>25194132.71870481</x:v>
      </x:c>
      <x:c r="AF35" s="55" t="n">
        <x:f>SUM(AF33:AF34)</x:f>
        <x:v>26124691.391517762</x:v>
      </x:c>
      <x:c r="AG35" s="55" t="n">
        <x:f>SUM(AG33:AG34)</x:f>
        <x:v>27045944.477602586</x:v>
      </x:c>
      <x:c r="AH35" s="55" t="n">
        <x:f>SUM(AH33:AH34)</x:f>
        <x:v>27957985.03282656</x:v>
      </x:c>
      <x:c r="AI35" s="55" t="n">
        <x:f>SUM(AI33:AI34)</x:f>
        <x:v>28860905.182498295</x:v>
      </x:c>
      <x:c r="AJ35" s="55" t="n">
        <x:f>SUM(AJ33:AJ34)</x:f>
        <x:v>29754796.130673315</x:v>
      </x:c>
      <x:c r="AK35" s="55" t="n">
        <x:f>SUM(AK33:AK34)</x:f>
        <x:v>30639748.169366583</x:v>
      </x:c>
    </x:row>
    <x:row r="36">
      <x:c r="A36" s="32" t="str">
        <x:v>Себестоимость аудитов, ₽</x:v>
      </x:c>
      <x:c r="B36" s="55" t="n">
        <x:f>B28*'Допущения'!$D$10*$B$9*(1-'Допущения'!$D$11)^0</x:f>
        <x:v>360000</x:v>
      </x:c>
      <x:c r="C36" s="55" t="n">
        <x:f>C28*'Допущения'!$D$10*$B$9*(1-'Допущения'!$D$11)^0</x:f>
        <x:v>540000</x:v>
      </x:c>
      <x:c r="D36" s="55" t="n">
        <x:f>D28*'Допущения'!$D$10*$B$9*(1-'Допущения'!$D$11)^0</x:f>
        <x:v>540000</x:v>
      </x:c>
      <x:c r="E36" s="55" t="n">
        <x:f>E28*'Допущения'!$D$10*$B$9*(1-'Допущения'!$D$11)^1</x:f>
        <x:v>662400</x:v>
      </x:c>
      <x:c r="F36" s="55" t="n">
        <x:f>F28*'Допущения'!$D$10*$B$9*(1-'Допущения'!$D$11)^1</x:f>
        <x:v>662400</x:v>
      </x:c>
      <x:c r="G36" s="55" t="n">
        <x:f>G28*'Допущения'!$D$10*$B$9*(1-'Допущения'!$D$11)^1</x:f>
        <x:v>662400</x:v>
      </x:c>
      <x:c r="H36" s="55" t="n">
        <x:f>H28*'Допущения'!$D$10*$B$9*(1-'Допущения'!$D$11)^2</x:f>
        <x:v>761760</x:v>
      </x:c>
      <x:c r="I36" s="55" t="n">
        <x:f>I28*'Допущения'!$D$10*$B$9*(1-'Допущения'!$D$11)^2</x:f>
        <x:v>761760</x:v>
      </x:c>
      <x:c r="J36" s="55" t="n">
        <x:f>J28*'Допущения'!$D$10*$B$9*(1-'Допущения'!$D$11)^2</x:f>
        <x:v>761760</x:v>
      </x:c>
      <x:c r="K36" s="55" t="n">
        <x:f>K28*'Допущения'!$D$10*$B$9*(1-'Допущения'!$D$11)^3</x:f>
        <x:v>700819.2000000001</x:v>
      </x:c>
      <x:c r="L36" s="55" t="n">
        <x:f>L28*'Допущения'!$D$10*$B$9*(1-'Допущения'!$D$11)^3</x:f>
        <x:v>700819.2000000001</x:v>
      </x:c>
      <x:c r="M36" s="55" t="n">
        <x:f>M28*'Допущения'!$D$10*$B$9*(1-'Допущения'!$D$11)^3</x:f>
        <x:v>700819.2000000001</x:v>
      </x:c>
      <x:c r="N36" s="55" t="n">
        <x:f>N28*'Допущения'!$D$10*$B$9*(1-'Допущения'!$D$11)^4</x:f>
        <x:v>773704.3968000001</x:v>
      </x:c>
      <x:c r="O36" s="55" t="n">
        <x:f>O28*'Допущения'!$D$10*$B$9*(1-'Допущения'!$D$11)^4</x:f>
        <x:v>773704.3968000001</x:v>
      </x:c>
      <x:c r="P36" s="55" t="n">
        <x:f>P28*'Допущения'!$D$10*$B$9*(1-'Допущения'!$D$11)^4</x:f>
        <x:v>773704.3968000001</x:v>
      </x:c>
      <x:c r="Q36" s="55" t="n">
        <x:f>Q28*'Допущения'!$D$10*$B$9*(1-'Допущения'!$D$11)^5</x:f>
        <x:v>711808.0450560001</x:v>
      </x:c>
      <x:c r="R36" s="55" t="n">
        <x:f>R28*'Допущения'!$D$10*$B$9*(1-'Допущения'!$D$11)^5</x:f>
        <x:v>711808.0450560001</x:v>
      </x:c>
      <x:c r="S36" s="55" t="n">
        <x:f>S28*'Допущения'!$D$10*$B$9*(1-'Допущения'!$D$11)^5</x:f>
        <x:v>711808.0450560001</x:v>
      </x:c>
      <x:c r="T36" s="55" t="n">
        <x:f>T28*'Допущения'!$D$10*$B$9*(1-'Допущения'!$D$11)^6</x:f>
        <x:v>654863.4014515202</x:v>
      </x:c>
      <x:c r="U36" s="55" t="n">
        <x:f>U28*'Допущения'!$D$10*$B$9*(1-'Допущения'!$D$11)^6</x:f>
        <x:v>654863.4014515202</x:v>
      </x:c>
      <x:c r="V36" s="55" t="n">
        <x:f>V28*'Допущения'!$D$10*$B$9*(1-'Допущения'!$D$11)^6</x:f>
        <x:v>654863.4014515202</x:v>
      </x:c>
      <x:c r="W36" s="55" t="n">
        <x:f>W28*'Допущения'!$D$10*$B$9*(1-'Допущения'!$D$11)^7</x:f>
        <x:v>602474.3293353985</x:v>
      </x:c>
      <x:c r="X36" s="55" t="n">
        <x:f>X28*'Допущения'!$D$10*$B$9*(1-'Допущения'!$D$11)^7</x:f>
        <x:v>602474.3293353985</x:v>
      </x:c>
      <x:c r="Y36" s="55" t="n">
        <x:f>Y28*'Допущения'!$D$10*$B$9*(1-'Допущения'!$D$11)^7</x:f>
        <x:v>602474.3293353985</x:v>
      </x:c>
      <x:c r="Z36" s="55" t="n">
        <x:f>Z28*'Допущения'!$D$10*$B$9*(1-'Допущения'!$D$11)^8</x:f>
        <x:v>923793.9716476111</x:v>
      </x:c>
      <x:c r="AA36" s="55" t="n">
        <x:f>AA28*'Допущения'!$D$10*$B$9*(1-'Допущения'!$D$11)^8</x:f>
        <x:v>923793.9716476111</x:v>
      </x:c>
      <x:c r="AB36" s="55" t="n">
        <x:f>AB28*'Допущения'!$D$10*$B$9*(1-'Допущения'!$D$11)^8</x:f>
        <x:v>923793.9716476111</x:v>
      </x:c>
      <x:c r="AC36" s="55" t="n">
        <x:f>AC28*'Допущения'!$D$10*$B$9*(1-'Допущения'!$D$11)^9</x:f>
        <x:v>849890.4539158023</x:v>
      </x:c>
      <x:c r="AD36" s="55" t="n">
        <x:f>AD28*'Допущения'!$D$10*$B$9*(1-'Допущения'!$D$11)^9</x:f>
        <x:v>849890.4539158023</x:v>
      </x:c>
      <x:c r="AE36" s="55" t="n">
        <x:f>AE28*'Допущения'!$D$10*$B$9*(1-'Допущения'!$D$11)^9</x:f>
        <x:v>849890.4539158023</x:v>
      </x:c>
      <x:c r="AF36" s="55" t="n">
        <x:f>AF28*'Допущения'!$D$10*$B$9*(1-'Допущения'!$D$11)^10</x:f>
        <x:v>781899.2176025382</x:v>
      </x:c>
      <x:c r="AG36" s="55" t="n">
        <x:f>AG28*'Допущения'!$D$10*$B$9*(1-'Допущения'!$D$11)^10</x:f>
        <x:v>781899.2176025382</x:v>
      </x:c>
      <x:c r="AH36" s="55" t="n">
        <x:f>AH28*'Допущения'!$D$10*$B$9*(1-'Допущения'!$D$11)^10</x:f>
        <x:v>781899.2176025382</x:v>
      </x:c>
      <x:c r="AI36" s="55" t="n">
        <x:f>AI28*'Допущения'!$D$10*$B$9*(1-'Допущения'!$D$11)^11</x:f>
        <x:v>719347.280194335</x:v>
      </x:c>
      <x:c r="AJ36" s="55" t="n">
        <x:f>AJ28*'Допущения'!$D$10*$B$9*(1-'Допущения'!$D$11)^11</x:f>
        <x:v>719347.280194335</x:v>
      </x:c>
      <x:c r="AK36" s="55" t="n">
        <x:f>AK28*'Допущения'!$D$10*$B$9*(1-'Допущения'!$D$11)^11</x:f>
        <x:v>719347.280194335</x:v>
      </x:c>
    </x:row>
    <x:row r="37">
      <x:c r="A37" s="32" t="str">
        <x:v>Себестоимость оптимизаций, ₽</x:v>
      </x:c>
      <x:c r="B37" s="55" t="n">
        <x:f>B29*'Допущения'!$D$18*$B$10</x:f>
        <x:v>385000.00000000006</x:v>
      </x:c>
      <x:c r="C37" s="55" t="n">
        <x:f>C29*'Допущения'!$D$18*$B$10</x:f>
        <x:v>577500</x:v>
      </x:c>
      <x:c r="D37" s="55" t="n">
        <x:f>D29*'Допущения'!$D$18*$B$10</x:f>
        <x:v>577500</x:v>
      </x:c>
      <x:c r="E37" s="55" t="n">
        <x:f>E29*'Допущения'!$D$18*$B$10</x:f>
        <x:v>770000.0000000001</x:v>
      </x:c>
      <x:c r="F37" s="55" t="n">
        <x:f>F29*'Допущения'!$D$18*$B$10</x:f>
        <x:v>770000.0000000001</x:v>
      </x:c>
      <x:c r="G37" s="55" t="n">
        <x:f>G29*'Допущения'!$D$18*$B$10</x:f>
        <x:v>770000.0000000001</x:v>
      </x:c>
      <x:c r="H37" s="55" t="n">
        <x:f>H29*'Допущения'!$D$18*$B$10</x:f>
        <x:v>962500</x:v>
      </x:c>
      <x:c r="I37" s="55" t="n">
        <x:f>I29*'Допущения'!$D$18*$B$10</x:f>
        <x:v>962500</x:v>
      </x:c>
      <x:c r="J37" s="55" t="n">
        <x:f>J29*'Допущения'!$D$18*$B$10</x:f>
        <x:v>962500</x:v>
      </x:c>
      <x:c r="K37" s="55" t="n">
        <x:f>K29*'Допущения'!$D$18*$B$10</x:f>
        <x:v>962500</x:v>
      </x:c>
      <x:c r="L37" s="55" t="n">
        <x:f>L29*'Допущения'!$D$18*$B$10</x:f>
        <x:v>962500</x:v>
      </x:c>
      <x:c r="M37" s="55" t="n">
        <x:f>M29*'Допущения'!$D$18*$B$10</x:f>
        <x:v>962500</x:v>
      </x:c>
      <x:c r="N37" s="55" t="n">
        <x:f>N29*'Допущения'!$D$18*$B$10</x:f>
        <x:v>1155000</x:v>
      </x:c>
      <x:c r="O37" s="55" t="n">
        <x:f>O29*'Допущения'!$D$18*$B$10</x:f>
        <x:v>1155000</x:v>
      </x:c>
      <x:c r="P37" s="55" t="n">
        <x:f>P29*'Допущения'!$D$18*$B$10</x:f>
        <x:v>1155000</x:v>
      </x:c>
      <x:c r="Q37" s="55" t="n">
        <x:f>Q29*'Допущения'!$D$18*$B$10</x:f>
        <x:v>1155000</x:v>
      </x:c>
      <x:c r="R37" s="55" t="n">
        <x:f>R29*'Допущения'!$D$18*$B$10</x:f>
        <x:v>1155000</x:v>
      </x:c>
      <x:c r="S37" s="55" t="n">
        <x:f>S29*'Допущения'!$D$18*$B$10</x:f>
        <x:v>1155000</x:v>
      </x:c>
      <x:c r="T37" s="55" t="n">
        <x:f>T29*'Допущения'!$D$18*$B$10</x:f>
        <x:v>1155000</x:v>
      </x:c>
      <x:c r="U37" s="55" t="n">
        <x:f>U29*'Допущения'!$D$18*$B$10</x:f>
        <x:v>1155000</x:v>
      </x:c>
      <x:c r="V37" s="55" t="n">
        <x:f>V29*'Допущения'!$D$18*$B$10</x:f>
        <x:v>1155000</x:v>
      </x:c>
      <x:c r="W37" s="55" t="n">
        <x:f>W29*'Допущения'!$D$18*$B$10</x:f>
        <x:v>1155000</x:v>
      </x:c>
      <x:c r="X37" s="55" t="n">
        <x:f>X29*'Допущения'!$D$18*$B$10</x:f>
        <x:v>1155000</x:v>
      </x:c>
      <x:c r="Y37" s="55" t="n">
        <x:f>Y29*'Допущения'!$D$18*$B$10</x:f>
        <x:v>1155000</x:v>
      </x:c>
      <x:c r="Z37" s="55" t="n">
        <x:f>Z29*'Допущения'!$D$18*$B$10</x:f>
        <x:v>1925000</x:v>
      </x:c>
      <x:c r="AA37" s="55" t="n">
        <x:f>AA29*'Допущения'!$D$18*$B$10</x:f>
        <x:v>1925000</x:v>
      </x:c>
      <x:c r="AB37" s="55" t="n">
        <x:f>AB29*'Допущения'!$D$18*$B$10</x:f>
        <x:v>1925000</x:v>
      </x:c>
      <x:c r="AC37" s="55" t="n">
        <x:f>AC29*'Допущения'!$D$18*$B$10</x:f>
        <x:v>1925000</x:v>
      </x:c>
      <x:c r="AD37" s="55" t="n">
        <x:f>AD29*'Допущения'!$D$18*$B$10</x:f>
        <x:v>1925000</x:v>
      </x:c>
      <x:c r="AE37" s="55" t="n">
        <x:f>AE29*'Допущения'!$D$18*$B$10</x:f>
        <x:v>1925000</x:v>
      </x:c>
      <x:c r="AF37" s="55" t="n">
        <x:f>AF29*'Допущения'!$D$18*$B$10</x:f>
        <x:v>1925000</x:v>
      </x:c>
      <x:c r="AG37" s="55" t="n">
        <x:f>AG29*'Допущения'!$D$18*$B$10</x:f>
        <x:v>1925000</x:v>
      </x:c>
      <x:c r="AH37" s="55" t="n">
        <x:f>AH29*'Допущения'!$D$18*$B$10</x:f>
        <x:v>1925000</x:v>
      </x:c>
      <x:c r="AI37" s="55" t="n">
        <x:f>AI29*'Допущения'!$D$18*$B$10</x:f>
        <x:v>1925000</x:v>
      </x:c>
      <x:c r="AJ37" s="55" t="n">
        <x:f>AJ29*'Допущения'!$D$18*$B$10</x:f>
        <x:v>1925000</x:v>
      </x:c>
      <x:c r="AK37" s="55" t="n">
        <x:f>AK29*'Допущения'!$D$18*$B$10</x:f>
        <x:v>1925000</x:v>
      </x:c>
    </x:row>
    <x:row r="38">
      <x:c r="A38" s="32" t="str">
        <x:v>Поддержка и переменная инфраструктура, ₽</x:v>
      </x:c>
      <x:c r="B38" s="55" t="n">
        <x:f>B32*('Допущения'!$D$19+'Допущения'!$D$21)</x:f>
        <x:v>0</x:v>
      </x:c>
      <x:c r="C38" s="55" t="n">
        <x:f>C32*('Допущения'!$D$19+'Допущения'!$D$21)</x:f>
        <x:v>39600.00000000001</x:v>
      </x:c>
      <x:c r="D38" s="55" t="n">
        <x:f>D32*('Допущения'!$D$19+'Допущения'!$D$21)</x:f>
        <x:v>98604.00000000001</x:v>
      </x:c>
      <x:c r="E38" s="55" t="n">
        <x:f>E32*('Допущения'!$D$19+'Допущения'!$D$21)</x:f>
        <x:v>157017.96000000002</x:v>
      </x:c>
      <x:c r="F38" s="55" t="n">
        <x:f>F32*('Допущения'!$D$19+'Допущения'!$D$21)</x:f>
        <x:v>234647.78040000002</x:v>
      </x:c>
      <x:c r="G38" s="55" t="n">
        <x:f>G32*('Допущения'!$D$19+'Допущения'!$D$21)</x:f>
        <x:v>311501.302596</x:v>
      </x:c>
      <x:c r="H38" s="55" t="n">
        <x:f>H32*('Допущения'!$D$19+'Допущения'!$D$21)</x:f>
        <x:v>387586.28957004</x:v>
      </x:c>
      <x:c r="I38" s="55" t="n">
        <x:f>I32*('Допущения'!$D$19+'Допущения'!$D$21)</x:f>
        <x:v>482710.42667433963</x:v>
      </x:c>
      <x:c r="J38" s="55" t="n">
        <x:f>J32*('Допущения'!$D$19+'Допущения'!$D$21)</x:f>
        <x:v>576883.3224075962</x:v>
      </x:c>
      <x:c r="K38" s="55" t="n">
        <x:f>K32*('Допущения'!$D$19+'Допущения'!$D$21)</x:f>
        <x:v>670114.4891835203</x:v>
      </x:c>
      <x:c r="L38" s="55" t="n">
        <x:f>L32*('Допущения'!$D$19+'Допущения'!$D$21)</x:f>
        <x:v>762413.3442916851</x:v>
      </x:c>
      <x:c r="M38" s="55" t="n">
        <x:f>M32*('Допущения'!$D$19+'Допущения'!$D$21)</x:f>
        <x:v>853789.2108487684</x:v>
      </x:c>
      <x:c r="N38" s="55" t="n">
        <x:f>N32*('Допущения'!$D$19+'Допущения'!$D$21)</x:f>
        <x:v>944251.3187402807</x:v>
      </x:c>
      <x:c r="O38" s="55" t="n">
        <x:f>O32*('Допущения'!$D$19+'Допущения'!$D$21)</x:f>
        <x:v>1053608.805552878</x:v>
      </x:c>
      <x:c r="P38" s="55" t="n">
        <x:f>P32*('Допущения'!$D$19+'Допущения'!$D$21)</x:f>
        <x:v>1161872.7174973493</x:v>
      </x:c>
      <x:c r="Q38" s="55" t="n">
        <x:f>Q32*('Допущения'!$D$19+'Допущения'!$D$21)</x:f>
        <x:v>1269053.9903223757</x:v>
      </x:c>
      <x:c r="R38" s="55" t="n">
        <x:f>R32*('Допущения'!$D$19+'Допущения'!$D$21)</x:f>
        <x:v>1375163.450419152</x:v>
      </x:c>
      <x:c r="S38" s="55" t="n">
        <x:f>S32*('Допущения'!$D$19+'Допущения'!$D$21)</x:f>
        <x:v>1480211.8159149606</x:v>
      </x:c>
      <x:c r="T38" s="55" t="n">
        <x:f>T32*('Допущения'!$D$19+'Допущения'!$D$21)</x:f>
        <x:v>1584209.697755811</x:v>
      </x:c>
      <x:c r="U38" s="55" t="n">
        <x:f>U32*('Допущения'!$D$19+'Допущения'!$D$21)</x:f>
        <x:v>1687167.6007782528</x:v>
      </x:c>
      <x:c r="V38" s="55" t="n">
        <x:f>V32*('Допущения'!$D$19+'Допущения'!$D$21)</x:f>
        <x:v>1789095.9247704705</x:v>
      </x:c>
      <x:c r="W38" s="55" t="n">
        <x:f>W32*('Допущения'!$D$19+'Допущения'!$D$21)</x:f>
        <x:v>1890004.9655227659</x:v>
      </x:c>
      <x:c r="X38" s="55" t="n">
        <x:f>X32*('Допущения'!$D$19+'Допущения'!$D$21)</x:f>
        <x:v>1989904.9158675382</x:v>
      </x:c>
      <x:c r="Y38" s="55" t="n">
        <x:f>Y32*('Допущения'!$D$19+'Допущения'!$D$21)</x:f>
        <x:v>2088805.8667088628</x:v>
      </x:c>
      <x:c r="Z38" s="55" t="n">
        <x:f>Z32*('Допущения'!$D$19+'Допущения'!$D$21)</x:f>
        <x:v>2186717.808041774</x:v>
      </x:c>
      <x:c r="AA38" s="55" t="n">
        <x:f>AA32*('Допущения'!$D$19+'Допущения'!$D$21)</x:f>
        <x:v>2362850.629961356</x:v>
      </x:c>
      <x:c r="AB38" s="55" t="n">
        <x:f>AB32*('Допущения'!$D$19+'Допущения'!$D$21)</x:f>
        <x:v>2537222.1236617425</x:v>
      </x:c>
      <x:c r="AC38" s="55" t="n">
        <x:f>AC32*('Допущения'!$D$19+'Допущения'!$D$21)</x:f>
        <x:v>2709849.9024251252</x:v>
      </x:c>
      <x:c r="AD38" s="55" t="n">
        <x:f>AD32*('Допущения'!$D$19+'Допущения'!$D$21)</x:f>
        <x:v>2880751.4034008738</x:v>
      </x:c>
      <x:c r="AE38" s="55" t="n">
        <x:f>AE32*('Допущения'!$D$19+'Допущения'!$D$21)</x:f>
        <x:v>3049943.889366865</x:v>
      </x:c>
      <x:c r="AF38" s="55" t="n">
        <x:f>AF32*('Допущения'!$D$19+'Допущения'!$D$21)</x:f>
        <x:v>3217444.450473197</x:v>
      </x:c>
      <x:c r="AG38" s="55" t="n">
        <x:f>AG32*('Допущения'!$D$19+'Допущения'!$D$21)</x:f>
        <x:v>3383270.0059684655</x:v>
      </x:c>
      <x:c r="AH38" s="55" t="n">
        <x:f>AH32*('Допущения'!$D$19+'Допущения'!$D$21)</x:f>
        <x:v>3547437.305908781</x:v>
      </x:c>
      <x:c r="AI38" s="55" t="n">
        <x:f>AI32*('Допущения'!$D$19+'Допущения'!$D$21)</x:f>
        <x:v>3709962.932849693</x:v>
      </x:c>
      <x:c r="AJ38" s="55" t="n">
        <x:f>AJ32*('Допущения'!$D$19+'Допущения'!$D$21)</x:f>
        <x:v>3870863.303521197</x:v>
      </x:c>
      <x:c r="AK38" s="55" t="n">
        <x:f>AK32*('Допущения'!$D$19+'Допущения'!$D$21)</x:f>
        <x:v>4030154.670485985</x:v>
      </x:c>
    </x:row>
    <x:row r="39">
      <x:c r="A39" s="32" t="str">
        <x:v>Валовая прибыль, ₽</x:v>
      </x:c>
      <x:c r="B39" s="55" t="n">
        <x:f>B35-B36-B37-B38</x:f>
        <x:v>905000.0000000002</x:v>
      </x:c>
      <x:c r="C39" s="55" t="n">
        <x:f>C35-C36-C37-C38</x:f>
        <x:v>1537900</x:v>
      </x:c>
      <x:c r="D39" s="55" t="n">
        <x:f>D35-D36-D37-D38</x:f>
        <x:v>1806696</x:v>
      </x:c>
      <x:c r="E39" s="55" t="n">
        <x:f>E35-E36-E37-E38</x:f>
        <x:v>2582904.0400000005</x:v>
      </x:c>
      <x:c r="F39" s="55" t="n">
        <x:f>F35-F36-F37-F38</x:f>
        <x:v>2936550.999600001</x:v>
      </x:c>
      <x:c r="G39" s="55" t="n">
        <x:f>G35-G36-G37-G38</x:f>
        <x:v>3286661.489604001</x:v>
      </x:c>
      <x:c r="H39" s="55" t="n">
        <x:f>H35-H36-H37-H38</x:f>
        <x:v>4166410.8747079605</x:v>
      </x:c>
      <x:c r="I39" s="55" t="n">
        <x:f>I35-I36-I37-I38</x:f>
        <x:v>4599754.16596088</x:v>
      </x:c>
      <x:c r="J39" s="55" t="n">
        <x:f>J35-J36-J37-J38</x:f>
        <x:v>5028764.024301272</x:v>
      </x:c>
      <x:c r="K39" s="55" t="n">
        <x:f>K35-K36-K37-K38</x:f>
        <x:v>5514424.584058259</x:v>
      </x:c>
      <x:c r="L39" s="55" t="n">
        <x:f>L35-L36-L37-L38</x:f>
        <x:v>5934897.146217677</x:v>
      </x:c>
      <x:c r="M39" s="55" t="n">
        <x:f>M35-M36-M37-M38</x:f>
        <x:v>6351164.982755499</x:v>
      </x:c>
      <x:c r="N39" s="55" t="n">
        <x:f>N35-N36-N37-N38</x:f>
        <x:v>7322884.944127945</x:v>
      </x:c>
      <x:c r="O39" s="55" t="n">
        <x:f>O35-O36-O37-O38</x:f>
        <x:v>7821069.050718665</x:v>
      </x:c>
      <x:c r="P39" s="55" t="n">
        <x:f>P35-P36-P37-P38</x:f>
        <x:v>8314271.316243481</x:v>
      </x:c>
      <x:c r="Q39" s="55" t="n">
        <x:f>Q35-Q36-Q37-Q38</x:f>
        <x:v>8864437.910857044</x:v>
      </x:c>
      <x:c r="R39" s="55" t="n">
        <x:f>R35-R36-R37-R38</x:f>
        <x:v>9347825.451297915</x:v>
      </x:c>
      <x:c r="S39" s="55" t="n">
        <x:f>S35-S36-S37-S38</x:f>
        <x:v>9826379.116334377</x:v>
      </x:c>
      <x:c r="T39" s="55" t="n">
        <x:f>T35-T36-T37-T38</x:f>
        <x:v>10357091.888324952</x:v>
      </x:c>
      <x:c r="U39" s="55" t="n">
        <x:f>U35-U36-U37-U38</x:f>
        <x:v>10826122.335427187</x:v>
      </x:c>
      <x:c r="V39" s="55" t="n">
        <x:f>V35-V36-V37-V38</x:f>
        <x:v>11290462.4780584</x:v>
      </x:c>
      <x:c r="W39" s="55" t="n">
        <x:f>W35-W36-W37-W38</x:f>
        <x:v>11802548.291379422</x:v>
      </x:c>
      <x:c r="X39" s="55" t="n">
        <x:f>X35-X36-X37-X38</x:f>
        <x:v>12257648.065172274</x:v>
      </x:c>
      <x:c r="Y39" s="55" t="n">
        <x:f>Y35-Y36-Y37-Y38</x:f>
        <x:v>12708196.841227198</x:v>
      </x:c>
      <x:c r="Z39" s="55" t="n">
        <x:f>Z35-Z36-Z37-Z38</x:f>
        <x:v>15362920.487209357</x:v>
      </x:c>
      <x:c r="AA39" s="55" t="n">
        <x:f>AA35-AA36-AA37-AA38</x:f>
        <x:v>16165303.34262079</x:v>
      </x:c>
      <x:c r="AB39" s="55" t="n">
        <x:f>AB35-AB36-AB37-AB38</x:f>
        <x:v>16959662.369478106</x:v>
      </x:c>
      <x:c r="AC39" s="55" t="n">
        <x:f>AC35-AC36-AC37-AC38</x:f>
        <x:v>17819981.32379866</x:v>
      </x:c>
      <x:c r="AD39" s="55" t="n">
        <x:f>AD35-AD36-AD37-AD38</x:f>
        <x:v>18598532.606021516</x:v>
      </x:c>
      <x:c r="AE39" s="55" t="n">
        <x:f>AE35-AE36-AE37-AE38</x:f>
        <x:v>19369298.375422142</x:v>
      </x:c>
      <x:c r="AF39" s="55" t="n">
        <x:f>AF35-AF36-AF37-AF38</x:f>
        <x:v>20200347.723442025</x:v>
      </x:c>
      <x:c r="AG39" s="55" t="n">
        <x:f>AG35-AG36-AG37-AG38</x:f>
        <x:v>20955775.25403158</x:v>
      </x:c>
      <x:c r="AH39" s="55" t="n">
        <x:f>AH35-AH36-AH37-AH38</x:f>
        <x:v>21703648.50931524</x:v>
      </x:c>
      <x:c r="AI39" s="55" t="n">
        <x:f>AI35-AI36-AI37-AI38</x:f>
        <x:v>22506594.969454266</x:v>
      </x:c>
      <x:c r="AJ39" s="55" t="n">
        <x:f>AJ35-AJ36-AJ37-AJ38</x:f>
        <x:v>23239585.546957783</x:v>
      </x:c>
      <x:c r="AK39" s="55" t="n">
        <x:f>AK35-AK36-AK37-AK38</x:f>
        <x:v>23965246.218686264</x:v>
      </x:c>
    </x:row>
    <x:row r="40">
      <x:c r="A40" s="32" t="str">
        <x:v>Дополнительная команда роста, ₽</x:v>
      </x:c>
      <x:c r="B40" s="55" t="n">
        <x:f>IF(B32&gt;'Допущения'!$D$35,'Допущения'!$D$36,IF(B32&gt;'Допущения'!$D$33,'Допущения'!$D$34,IF(B32&gt;'Допущения'!$D$31,'Допущения'!$D$32,IF(B32&gt;'Допущения'!$D$29,'Допущения'!$D$30,0))))*$B$15</x:f>
        <x:v>0</x:v>
      </x:c>
      <x:c r="C40" s="55" t="n">
        <x:f>IF(C32&gt;'Допущения'!$D$35,'Допущения'!$D$36,IF(C32&gt;'Допущения'!$D$33,'Допущения'!$D$34,IF(C32&gt;'Допущения'!$D$31,'Допущения'!$D$32,IF(C32&gt;'Допущения'!$D$29,'Допущения'!$D$30,0))))*$B$15</x:f>
        <x:v>0</x:v>
      </x:c>
      <x:c r="D40" s="55" t="n">
        <x:f>IF(D32&gt;'Допущения'!$D$35,'Допущения'!$D$36,IF(D32&gt;'Допущения'!$D$33,'Допущения'!$D$34,IF(D32&gt;'Допущения'!$D$31,'Допущения'!$D$32,IF(D32&gt;'Допущения'!$D$29,'Допущения'!$D$30,0))))*$B$15</x:f>
        <x:v>0</x:v>
      </x:c>
      <x:c r="E40" s="55" t="n">
        <x:f>IF(E32&gt;'Допущения'!$D$35,'Допущения'!$D$36,IF(E32&gt;'Допущения'!$D$33,'Допущения'!$D$34,IF(E32&gt;'Допущения'!$D$31,'Допущения'!$D$32,IF(E32&gt;'Допущения'!$D$29,'Допущения'!$D$30,0))))*$B$15</x:f>
        <x:v>0</x:v>
      </x:c>
      <x:c r="F40" s="55" t="n">
        <x:f>IF(F32&gt;'Допущения'!$D$35,'Допущения'!$D$36,IF(F32&gt;'Допущения'!$D$33,'Допущения'!$D$34,IF(F32&gt;'Допущения'!$D$31,'Допущения'!$D$32,IF(F32&gt;'Допущения'!$D$29,'Допущения'!$D$30,0))))*$B$15</x:f>
        <x:v>0</x:v>
      </x:c>
      <x:c r="G40" s="55" t="n">
        <x:f>IF(G32&gt;'Допущения'!$D$35,'Допущения'!$D$36,IF(G32&gt;'Допущения'!$D$33,'Допущения'!$D$34,IF(G32&gt;'Допущения'!$D$31,'Допущения'!$D$32,IF(G32&gt;'Допущения'!$D$29,'Допущения'!$D$30,0))))*$B$15</x:f>
        <x:v>0</x:v>
      </x:c>
      <x:c r="H40" s="55" t="n">
        <x:f>IF(H32&gt;'Допущения'!$D$35,'Допущения'!$D$36,IF(H32&gt;'Допущения'!$D$33,'Допущения'!$D$34,IF(H32&gt;'Допущения'!$D$31,'Допущения'!$D$32,IF(H32&gt;'Допущения'!$D$29,'Допущения'!$D$30,0))))*$B$15</x:f>
        <x:v>0</x:v>
      </x:c>
      <x:c r="I40" s="55" t="n">
        <x:f>IF(I32&gt;'Допущения'!$D$35,'Допущения'!$D$36,IF(I32&gt;'Допущения'!$D$33,'Допущения'!$D$34,IF(I32&gt;'Допущения'!$D$31,'Допущения'!$D$32,IF(I32&gt;'Допущения'!$D$29,'Допущения'!$D$30,0))))*$B$15</x:f>
        <x:v>250000</x:v>
      </x:c>
      <x:c r="J40" s="55" t="n">
        <x:f>IF(J32&gt;'Допущения'!$D$35,'Допущения'!$D$36,IF(J32&gt;'Допущения'!$D$33,'Допущения'!$D$34,IF(J32&gt;'Допущения'!$D$31,'Допущения'!$D$32,IF(J32&gt;'Допущения'!$D$29,'Допущения'!$D$30,0))))*$B$15</x:f>
        <x:v>250000</x:v>
      </x:c>
      <x:c r="K40" s="55" t="n">
        <x:f>IF(K32&gt;'Допущения'!$D$35,'Допущения'!$D$36,IF(K32&gt;'Допущения'!$D$33,'Допущения'!$D$34,IF(K32&gt;'Допущения'!$D$31,'Допущения'!$D$32,IF(K32&gt;'Допущения'!$D$29,'Допущения'!$D$30,0))))*$B$15</x:f>
        <x:v>250000</x:v>
      </x:c>
      <x:c r="L40" s="55" t="n">
        <x:f>IF(L32&gt;'Допущения'!$D$35,'Допущения'!$D$36,IF(L32&gt;'Допущения'!$D$33,'Допущения'!$D$34,IF(L32&gt;'Допущения'!$D$31,'Допущения'!$D$32,IF(L32&gt;'Допущения'!$D$29,'Допущения'!$D$30,0))))*$B$15</x:f>
        <x:v>250000</x:v>
      </x:c>
      <x:c r="M40" s="55" t="n">
        <x:f>IF(M32&gt;'Допущения'!$D$35,'Допущения'!$D$36,IF(M32&gt;'Допущения'!$D$33,'Допущения'!$D$34,IF(M32&gt;'Допущения'!$D$31,'Допущения'!$D$32,IF(M32&gt;'Допущения'!$D$29,'Допущения'!$D$30,0))))*$B$15</x:f>
        <x:v>250000</x:v>
      </x:c>
      <x:c r="N40" s="55" t="n">
        <x:f>IF(N32&gt;'Допущения'!$D$35,'Допущения'!$D$36,IF(N32&gt;'Допущения'!$D$33,'Допущения'!$D$34,IF(N32&gt;'Допущения'!$D$31,'Допущения'!$D$32,IF(N32&gt;'Допущения'!$D$29,'Допущения'!$D$30,0))))*$B$15</x:f>
        <x:v>250000</x:v>
      </x:c>
      <x:c r="O40" s="55" t="n">
        <x:f>IF(O32&gt;'Допущения'!$D$35,'Допущения'!$D$36,IF(O32&gt;'Допущения'!$D$33,'Допущения'!$D$34,IF(O32&gt;'Допущения'!$D$31,'Допущения'!$D$32,IF(O32&gt;'Допущения'!$D$29,'Допущения'!$D$30,0))))*$B$15</x:f>
        <x:v>250000</x:v>
      </x:c>
      <x:c r="P40" s="55" t="n">
        <x:f>IF(P32&gt;'Допущения'!$D$35,'Допущения'!$D$36,IF(P32&gt;'Допущения'!$D$33,'Допущения'!$D$34,IF(P32&gt;'Допущения'!$D$31,'Допущения'!$D$32,IF(P32&gt;'Допущения'!$D$29,'Допущения'!$D$30,0))))*$B$15</x:f>
        <x:v>500000</x:v>
      </x:c>
      <x:c r="Q40" s="55" t="n">
        <x:f>IF(Q32&gt;'Допущения'!$D$35,'Допущения'!$D$36,IF(Q32&gt;'Допущения'!$D$33,'Допущения'!$D$34,IF(Q32&gt;'Допущения'!$D$31,'Допущения'!$D$32,IF(Q32&gt;'Допущения'!$D$29,'Допущения'!$D$30,0))))*$B$15</x:f>
        <x:v>500000</x:v>
      </x:c>
      <x:c r="R40" s="55" t="n">
        <x:f>IF(R32&gt;'Допущения'!$D$35,'Допущения'!$D$36,IF(R32&gt;'Допущения'!$D$33,'Допущения'!$D$34,IF(R32&gt;'Допущения'!$D$31,'Допущения'!$D$32,IF(R32&gt;'Допущения'!$D$29,'Допущения'!$D$30,0))))*$B$15</x:f>
        <x:v>500000</x:v>
      </x:c>
      <x:c r="S40" s="55" t="n">
        <x:f>IF(S32&gt;'Допущения'!$D$35,'Допущения'!$D$36,IF(S32&gt;'Допущения'!$D$33,'Допущения'!$D$34,IF(S32&gt;'Допущения'!$D$31,'Допущения'!$D$32,IF(S32&gt;'Допущения'!$D$29,'Допущения'!$D$30,0))))*$B$15</x:f>
        <x:v>500000</x:v>
      </x:c>
      <x:c r="T40" s="55" t="n">
        <x:f>IF(T32&gt;'Допущения'!$D$35,'Допущения'!$D$36,IF(T32&gt;'Допущения'!$D$33,'Допущения'!$D$34,IF(T32&gt;'Допущения'!$D$31,'Допущения'!$D$32,IF(T32&gt;'Допущения'!$D$29,'Допущения'!$D$30,0))))*$B$15</x:f>
        <x:v>500000</x:v>
      </x:c>
      <x:c r="U40" s="55" t="n">
        <x:f>IF(U32&gt;'Допущения'!$D$35,'Допущения'!$D$36,IF(U32&gt;'Допущения'!$D$33,'Допущения'!$D$34,IF(U32&gt;'Допущения'!$D$31,'Допущения'!$D$32,IF(U32&gt;'Допущения'!$D$29,'Допущения'!$D$30,0))))*$B$15</x:f>
        <x:v>500000</x:v>
      </x:c>
      <x:c r="V40" s="55" t="n">
        <x:f>IF(V32&gt;'Допущения'!$D$35,'Допущения'!$D$36,IF(V32&gt;'Допущения'!$D$33,'Допущения'!$D$34,IF(V32&gt;'Допущения'!$D$31,'Допущения'!$D$32,IF(V32&gt;'Допущения'!$D$29,'Допущения'!$D$30,0))))*$B$15</x:f>
        <x:v>500000</x:v>
      </x:c>
      <x:c r="W40" s="55" t="n">
        <x:f>IF(W32&gt;'Допущения'!$D$35,'Допущения'!$D$36,IF(W32&gt;'Допущения'!$D$33,'Допущения'!$D$34,IF(W32&gt;'Допущения'!$D$31,'Допущения'!$D$32,IF(W32&gt;'Допущения'!$D$29,'Допущения'!$D$30,0))))*$B$15</x:f>
        <x:v>500000</x:v>
      </x:c>
      <x:c r="X40" s="55" t="n">
        <x:f>IF(X32&gt;'Допущения'!$D$35,'Допущения'!$D$36,IF(X32&gt;'Допущения'!$D$33,'Допущения'!$D$34,IF(X32&gt;'Допущения'!$D$31,'Допущения'!$D$32,IF(X32&gt;'Допущения'!$D$29,'Допущения'!$D$30,0))))*$B$15</x:f>
        <x:v>500000</x:v>
      </x:c>
      <x:c r="Y40" s="55" t="n">
        <x:f>IF(Y32&gt;'Допущения'!$D$35,'Допущения'!$D$36,IF(Y32&gt;'Допущения'!$D$33,'Допущения'!$D$34,IF(Y32&gt;'Допущения'!$D$31,'Допущения'!$D$32,IF(Y32&gt;'Допущения'!$D$29,'Допущения'!$D$30,0))))*$B$15</x:f>
        <x:v>500000</x:v>
      </x:c>
      <x:c r="Z40" s="55" t="n">
        <x:f>IF(Z32&gt;'Допущения'!$D$35,'Допущения'!$D$36,IF(Z32&gt;'Допущения'!$D$33,'Допущения'!$D$34,IF(Z32&gt;'Допущения'!$D$31,'Допущения'!$D$32,IF(Z32&gt;'Допущения'!$D$29,'Допущения'!$D$30,0))))*$B$15</x:f>
        <x:v>500000</x:v>
      </x:c>
      <x:c r="AA40" s="55" t="n">
        <x:f>IF(AA32&gt;'Допущения'!$D$35,'Допущения'!$D$36,IF(AA32&gt;'Допущения'!$D$33,'Допущения'!$D$34,IF(AA32&gt;'Допущения'!$D$31,'Допущения'!$D$32,IF(AA32&gt;'Допущения'!$D$29,'Допущения'!$D$30,0))))*$B$15</x:f>
        <x:v>850000</x:v>
      </x:c>
      <x:c r="AB40" s="55" t="n">
        <x:f>IF(AB32&gt;'Допущения'!$D$35,'Допущения'!$D$36,IF(AB32&gt;'Допущения'!$D$33,'Допущения'!$D$34,IF(AB32&gt;'Допущения'!$D$31,'Допущения'!$D$32,IF(AB32&gt;'Допущения'!$D$29,'Допущения'!$D$30,0))))*$B$15</x:f>
        <x:v>850000</x:v>
      </x:c>
      <x:c r="AC40" s="55" t="n">
        <x:f>IF(AC32&gt;'Допущения'!$D$35,'Допущения'!$D$36,IF(AC32&gt;'Допущения'!$D$33,'Допущения'!$D$34,IF(AC32&gt;'Допущения'!$D$31,'Допущения'!$D$32,IF(AC32&gt;'Допущения'!$D$29,'Допущения'!$D$30,0))))*$B$15</x:f>
        <x:v>850000</x:v>
      </x:c>
      <x:c r="AD40" s="55" t="n">
        <x:f>IF(AD32&gt;'Допущения'!$D$35,'Допущения'!$D$36,IF(AD32&gt;'Допущения'!$D$33,'Допущения'!$D$34,IF(AD32&gt;'Допущения'!$D$31,'Допущения'!$D$32,IF(AD32&gt;'Допущения'!$D$29,'Допущения'!$D$30,0))))*$B$15</x:f>
        <x:v>850000</x:v>
      </x:c>
      <x:c r="AE40" s="55" t="n">
        <x:f>IF(AE32&gt;'Допущения'!$D$35,'Допущения'!$D$36,IF(AE32&gt;'Допущения'!$D$33,'Допущения'!$D$34,IF(AE32&gt;'Допущения'!$D$31,'Допущения'!$D$32,IF(AE32&gt;'Допущения'!$D$29,'Допущения'!$D$30,0))))*$B$15</x:f>
        <x:v>850000</x:v>
      </x:c>
      <x:c r="AF40" s="55" t="n">
        <x:f>IF(AF32&gt;'Допущения'!$D$35,'Допущения'!$D$36,IF(AF32&gt;'Допущения'!$D$33,'Допущения'!$D$34,IF(AF32&gt;'Допущения'!$D$31,'Допущения'!$D$32,IF(AF32&gt;'Допущения'!$D$29,'Допущения'!$D$30,0))))*$B$15</x:f>
        <x:v>850000</x:v>
      </x:c>
      <x:c r="AG40" s="55" t="n">
        <x:f>IF(AG32&gt;'Допущения'!$D$35,'Допущения'!$D$36,IF(AG32&gt;'Допущения'!$D$33,'Допущения'!$D$34,IF(AG32&gt;'Допущения'!$D$31,'Допущения'!$D$32,IF(AG32&gt;'Допущения'!$D$29,'Допущения'!$D$30,0))))*$B$15</x:f>
        <x:v>850000</x:v>
      </x:c>
      <x:c r="AH40" s="55" t="n">
        <x:f>IF(AH32&gt;'Допущения'!$D$35,'Допущения'!$D$36,IF(AH32&gt;'Допущения'!$D$33,'Допущения'!$D$34,IF(AH32&gt;'Допущения'!$D$31,'Допущения'!$D$32,IF(AH32&gt;'Допущения'!$D$29,'Допущения'!$D$30,0))))*$B$15</x:f>
        <x:v>850000</x:v>
      </x:c>
      <x:c r="AI40" s="55" t="n">
        <x:f>IF(AI32&gt;'Допущения'!$D$35,'Допущения'!$D$36,IF(AI32&gt;'Допущения'!$D$33,'Допущения'!$D$34,IF(AI32&gt;'Допущения'!$D$31,'Допущения'!$D$32,IF(AI32&gt;'Допущения'!$D$29,'Допущения'!$D$30,0))))*$B$15</x:f>
        <x:v>850000</x:v>
      </x:c>
      <x:c r="AJ40" s="55" t="n">
        <x:f>IF(AJ32&gt;'Допущения'!$D$35,'Допущения'!$D$36,IF(AJ32&gt;'Допущения'!$D$33,'Допущения'!$D$34,IF(AJ32&gt;'Допущения'!$D$31,'Допущения'!$D$32,IF(AJ32&gt;'Допущения'!$D$29,'Допущения'!$D$30,0))))*$B$15</x:f>
        <x:v>850000</x:v>
      </x:c>
      <x:c r="AK40" s="55" t="n">
        <x:f>IF(AK32&gt;'Допущения'!$D$35,'Допущения'!$D$36,IF(AK32&gt;'Допущения'!$D$33,'Допущения'!$D$34,IF(AK32&gt;'Допущения'!$D$31,'Допущения'!$D$32,IF(AK32&gt;'Допущения'!$D$29,'Допущения'!$D$30,0))))*$B$15</x:f>
        <x:v>850000</x:v>
      </x:c>
    </x:row>
    <x:row r="41">
      <x:c r="A41" s="32" t="str">
        <x:v>Операционные расходы, ₽</x:v>
      </x:c>
      <x:c r="B41" s="55" t="n">
        <x:f>'Модель 36м'!B20*$B$15+B40+'Допущения'!$D$20+'Допущения'!$D$22+'Допущения'!$D$24</x:f>
        <x:v>3050000</x:v>
      </x:c>
      <x:c r="C41" s="55" t="n">
        <x:f>'Модель 36м'!C20*$B$15+C40+'Допущения'!$D$20+'Допущения'!$D$22+'Допущения'!$D$24</x:f>
        <x:v>3050000</x:v>
      </x:c>
      <x:c r="D41" s="55" t="n">
        <x:f>'Модель 36м'!D20*$B$15+D40+'Допущения'!$D$20+'Допущения'!$D$22+'Допущения'!$D$24</x:f>
        <x:v>3050000</x:v>
      </x:c>
      <x:c r="E41" s="55" t="n">
        <x:f>'Модель 36м'!E20*$B$15+E40+'Допущения'!$D$20+'Допущения'!$D$23+'Допущения'!$D$24</x:f>
        <x:v>3550000</x:v>
      </x:c>
      <x:c r="F41" s="55" t="n">
        <x:f>'Модель 36м'!F20*$B$15+F40+'Допущения'!$D$20+'Допущения'!$D$23+'Допущения'!$D$24</x:f>
        <x:v>3550000</x:v>
      </x:c>
      <x:c r="G41" s="55" t="n">
        <x:f>'Модель 36м'!G20*$B$15+G40+'Допущения'!$D$20+'Допущения'!$D$23+'Допущения'!$D$24</x:f>
        <x:v>3550000</x:v>
      </x:c>
      <x:c r="H41" s="55" t="n">
        <x:f>'Модель 36м'!H20*$B$15+H40+'Допущения'!$D$20+'Допущения'!$D$23+'Допущения'!$D$24</x:f>
        <x:v>4100000</x:v>
      </x:c>
      <x:c r="I41" s="55" t="n">
        <x:f>'Модель 36м'!I20*$B$15+I40+'Допущения'!$D$20+'Допущения'!$D$23+'Допущения'!$D$24</x:f>
        <x:v>4350000</x:v>
      </x:c>
      <x:c r="J41" s="55" t="n">
        <x:f>'Модель 36м'!J20*$B$15+J40+'Допущения'!$D$20+'Допущения'!$D$23+'Допущения'!$D$24</x:f>
        <x:v>4350000</x:v>
      </x:c>
      <x:c r="K41" s="55" t="n">
        <x:f>'Модель 36м'!K20*$B$15+K40+'Допущения'!$D$20+'Допущения'!$D$23+'Допущения'!$D$24</x:f>
        <x:v>4600000</x:v>
      </x:c>
      <x:c r="L41" s="55" t="n">
        <x:f>'Модель 36м'!L20*$B$15+L40+'Допущения'!$D$20+'Допущения'!$D$23+'Допущения'!$D$24</x:f>
        <x:v>4600000</x:v>
      </x:c>
      <x:c r="M41" s="55" t="n">
        <x:f>'Модель 36м'!M20*$B$15+M40+'Допущения'!$D$20+'Допущения'!$D$23+'Допущения'!$D$24</x:f>
        <x:v>4600000</x:v>
      </x:c>
      <x:c r="N41" s="55" t="n">
        <x:f>'Модель 36м'!N20*$B$15+N40+'Допущения'!$D$20+'Допущения'!$D$23+'Допущения'!$D$24</x:f>
        <x:v>4780000</x:v>
      </x:c>
      <x:c r="O41" s="55" t="n">
        <x:f>'Модель 36м'!O20*$B$15+O40+'Допущения'!$D$20+'Допущения'!$D$23+'Допущения'!$D$24</x:f>
        <x:v>4780000</x:v>
      </x:c>
      <x:c r="P41" s="55" t="n">
        <x:f>'Модель 36м'!P20*$B$15+P40+'Допущения'!$D$20+'Допущения'!$D$23+'Допущения'!$D$24</x:f>
        <x:v>5030000</x:v>
      </x:c>
      <x:c r="Q41" s="55" t="n">
        <x:f>'Модель 36м'!Q20*$B$15+Q40+'Допущения'!$D$20+'Допущения'!$D$23+'Допущения'!$D$24</x:f>
        <x:v>5030000</x:v>
      </x:c>
      <x:c r="R41" s="55" t="n">
        <x:f>'Модель 36м'!R20*$B$15+R40+'Допущения'!$D$20+'Допущения'!$D$23+'Допущения'!$D$24</x:f>
        <x:v>5030000</x:v>
      </x:c>
      <x:c r="S41" s="55" t="n">
        <x:f>'Модель 36м'!S20*$B$15+S40+'Допущения'!$D$20+'Допущения'!$D$23+'Допущения'!$D$24</x:f>
        <x:v>5030000</x:v>
      </x:c>
      <x:c r="T41" s="55" t="n">
        <x:f>'Модель 36м'!T20*$B$15+T40+'Допущения'!$D$20+'Допущения'!$D$23+'Допущения'!$D$24</x:f>
        <x:v>5030000</x:v>
      </x:c>
      <x:c r="U41" s="55" t="n">
        <x:f>'Модель 36м'!U20*$B$15+U40+'Допущения'!$D$20+'Допущения'!$D$23+'Допущения'!$D$24</x:f>
        <x:v>5030000</x:v>
      </x:c>
      <x:c r="V41" s="55" t="n">
        <x:f>'Модель 36м'!V20*$B$15+V40+'Допущения'!$D$20+'Допущения'!$D$23+'Допущения'!$D$24</x:f>
        <x:v>5030000</x:v>
      </x:c>
      <x:c r="W41" s="55" t="n">
        <x:f>'Модель 36м'!W20*$B$15+W40+'Допущения'!$D$20+'Допущения'!$D$23+'Допущения'!$D$24</x:f>
        <x:v>5030000</x:v>
      </x:c>
      <x:c r="X41" s="55" t="n">
        <x:f>'Модель 36м'!X20*$B$15+X40+'Допущения'!$D$20+'Допущения'!$D$23+'Допущения'!$D$24</x:f>
        <x:v>5030000</x:v>
      </x:c>
      <x:c r="Y41" s="55" t="n">
        <x:f>'Модель 36м'!Y20*$B$15+Y40+'Допущения'!$D$20+'Допущения'!$D$23+'Допущения'!$D$24</x:f>
        <x:v>5030000</x:v>
      </x:c>
      <x:c r="Z41" s="55" t="n">
        <x:f>'Модель 36м'!Z20*$B$15+Z40+'Допущения'!$D$20+'Допущения'!$D$23+'Допущения'!$D$24</x:f>
        <x:v>5393000</x:v>
      </x:c>
      <x:c r="AA41" s="55" t="n">
        <x:f>'Модель 36м'!AA20*$B$15+AA40+'Допущения'!$D$20+'Допущения'!$D$23+'Допущения'!$D$24</x:f>
        <x:v>5743000</x:v>
      </x:c>
      <x:c r="AB41" s="55" t="n">
        <x:f>'Модель 36м'!AB20*$B$15+AB40+'Допущения'!$D$20+'Допущения'!$D$23+'Допущения'!$D$24</x:f>
        <x:v>5743000</x:v>
      </x:c>
      <x:c r="AC41" s="55" t="n">
        <x:f>'Модель 36м'!AC20*$B$15+AC40+'Допущения'!$D$20+'Допущения'!$D$23+'Допущения'!$D$24</x:f>
        <x:v>5743000</x:v>
      </x:c>
      <x:c r="AD41" s="55" t="n">
        <x:f>'Модель 36м'!AD20*$B$15+AD40+'Допущения'!$D$20+'Допущения'!$D$23+'Допущения'!$D$24</x:f>
        <x:v>5743000</x:v>
      </x:c>
      <x:c r="AE41" s="55" t="n">
        <x:f>'Модель 36м'!AE20*$B$15+AE40+'Допущения'!$D$20+'Допущения'!$D$23+'Допущения'!$D$24</x:f>
        <x:v>5743000</x:v>
      </x:c>
      <x:c r="AF41" s="55" t="n">
        <x:f>'Модель 36м'!AF20*$B$15+AF40+'Допущения'!$D$20+'Допущения'!$D$23+'Допущения'!$D$24</x:f>
        <x:v>5743000</x:v>
      </x:c>
      <x:c r="AG41" s="55" t="n">
        <x:f>'Модель 36м'!AG20*$B$15+AG40+'Допущения'!$D$20+'Допущения'!$D$23+'Допущения'!$D$24</x:f>
        <x:v>5743000</x:v>
      </x:c>
      <x:c r="AH41" s="55" t="n">
        <x:f>'Модель 36м'!AH20*$B$15+AH40+'Допущения'!$D$20+'Допущения'!$D$23+'Допущения'!$D$24</x:f>
        <x:v>5743000</x:v>
      </x:c>
      <x:c r="AI41" s="55" t="n">
        <x:f>'Модель 36м'!AI20*$B$15+AI40+'Допущения'!$D$20+'Допущения'!$D$23+'Допущения'!$D$24</x:f>
        <x:v>5743000</x:v>
      </x:c>
      <x:c r="AJ41" s="55" t="n">
        <x:f>'Модель 36м'!AJ20*$B$15+AJ40+'Допущения'!$D$20+'Допущения'!$D$23+'Допущения'!$D$24</x:f>
        <x:v>5743000</x:v>
      </x:c>
      <x:c r="AK41" s="55" t="n">
        <x:f>'Модель 36м'!AK20*$B$15+AK40+'Допущения'!$D$20+'Допущения'!$D$23+'Допущения'!$D$24</x:f>
        <x:v>5743000</x:v>
      </x:c>
    </x:row>
    <x:row r="42">
      <x:c r="A42" s="32" t="str">
        <x:v>EBITDA, ₽</x:v>
      </x:c>
      <x:c r="B42" s="55" t="n">
        <x:f>B39-B41</x:f>
        <x:v>-2145000</x:v>
      </x:c>
      <x:c r="C42" s="55" t="n">
        <x:f>C39-C41</x:f>
        <x:v>-1512100</x:v>
      </x:c>
      <x:c r="D42" s="55" t="n">
        <x:f>D39-D41</x:f>
        <x:v>-1243304</x:v>
      </x:c>
      <x:c r="E42" s="55" t="n">
        <x:f>E39-E41</x:f>
        <x:v>-967095.9599999995</x:v>
      </x:c>
      <x:c r="F42" s="55" t="n">
        <x:f>F39-F41</x:f>
        <x:v>-613449.0003999989</x:v>
      </x:c>
      <x:c r="G42" s="55" t="n">
        <x:f>G39-G41</x:f>
        <x:v>-263338.51039599907</x:v>
      </x:c>
      <x:c r="H42" s="55" t="n">
        <x:f>H39-H41</x:f>
        <x:v>66410.87470796052</x:v>
      </x:c>
      <x:c r="I42" s="55" t="n">
        <x:f>I39-I41</x:f>
        <x:v>249754.16596088</x:v>
      </x:c>
      <x:c r="J42" s="55" t="n">
        <x:f>J39-J41</x:f>
        <x:v>678764.0243012719</x:v>
      </x:c>
      <x:c r="K42" s="55" t="n">
        <x:f>K39-K41</x:f>
        <x:v>914424.5840582587</x:v>
      </x:c>
      <x:c r="L42" s="55" t="n">
        <x:f>L39-L41</x:f>
        <x:v>1334897.1462176768</x:v>
      </x:c>
      <x:c r="M42" s="55" t="n">
        <x:f>M39-M41</x:f>
        <x:v>1751164.982755499</x:v>
      </x:c>
      <x:c r="N42" s="55" t="n">
        <x:f>N39-N41</x:f>
        <x:v>2542884.944127945</x:v>
      </x:c>
      <x:c r="O42" s="55" t="n">
        <x:f>O39-O41</x:f>
        <x:v>3041069.050718665</x:v>
      </x:c>
      <x:c r="P42" s="55" t="n">
        <x:f>P39-P41</x:f>
        <x:v>3284271.316243481</x:v>
      </x:c>
      <x:c r="Q42" s="55" t="n">
        <x:f>Q39-Q41</x:f>
        <x:v>3834437.910857044</x:v>
      </x:c>
      <x:c r="R42" s="55" t="n">
        <x:f>R39-R41</x:f>
        <x:v>4317825.451297915</x:v>
      </x:c>
      <x:c r="S42" s="55" t="n">
        <x:f>S39-S41</x:f>
        <x:v>4796379.116334377</x:v>
      </x:c>
      <x:c r="T42" s="55" t="n">
        <x:f>T39-T41</x:f>
        <x:v>5327091.888324952</x:v>
      </x:c>
      <x:c r="U42" s="55" t="n">
        <x:f>U39-U41</x:f>
        <x:v>5796122.335427187</x:v>
      </x:c>
      <x:c r="V42" s="55" t="n">
        <x:f>V39-V41</x:f>
        <x:v>6260462.4780584</x:v>
      </x:c>
      <x:c r="W42" s="55" t="n">
        <x:f>W39-W41</x:f>
        <x:v>6772548.291379422</x:v>
      </x:c>
      <x:c r="X42" s="55" t="n">
        <x:f>X39-X41</x:f>
        <x:v>7227648.065172274</x:v>
      </x:c>
      <x:c r="Y42" s="55" t="n">
        <x:f>Y39-Y41</x:f>
        <x:v>7678196.841227198</x:v>
      </x:c>
      <x:c r="Z42" s="55" t="n">
        <x:f>Z39-Z41</x:f>
        <x:v>9969920.487209357</x:v>
      </x:c>
      <x:c r="AA42" s="55" t="n">
        <x:f>AA39-AA41</x:f>
        <x:v>10422303.34262079</x:v>
      </x:c>
      <x:c r="AB42" s="55" t="n">
        <x:f>AB39-AB41</x:f>
        <x:v>11216662.369478106</x:v>
      </x:c>
      <x:c r="AC42" s="55" t="n">
        <x:f>AC39-AC41</x:f>
        <x:v>12076981.32379866</x:v>
      </x:c>
      <x:c r="AD42" s="55" t="n">
        <x:f>AD39-AD41</x:f>
        <x:v>12855532.606021516</x:v>
      </x:c>
      <x:c r="AE42" s="55" t="n">
        <x:f>AE39-AE41</x:f>
        <x:v>13626298.375422142</x:v>
      </x:c>
      <x:c r="AF42" s="55" t="n">
        <x:f>AF39-AF41</x:f>
        <x:v>14457347.723442025</x:v>
      </x:c>
      <x:c r="AG42" s="55" t="n">
        <x:f>AG39-AG41</x:f>
        <x:v>15212775.25403158</x:v>
      </x:c>
      <x:c r="AH42" s="55" t="n">
        <x:f>AH39-AH41</x:f>
        <x:v>15960648.509315241</x:v>
      </x:c>
      <x:c r="AI42" s="55" t="n">
        <x:f>AI39-AI41</x:f>
        <x:v>16763594.969454266</x:v>
      </x:c>
      <x:c r="AJ42" s="55" t="n">
        <x:f>AJ39-AJ41</x:f>
        <x:v>17496585.546957783</x:v>
      </x:c>
      <x:c r="AK42" s="55" t="n">
        <x:f>AK39-AK41</x:f>
        <x:v>18222246.218686264</x:v>
      </x:c>
    </x:row>
    <x:row r="43">
      <x:c r="A43" s="32" t="str">
        <x:v>Условный налог, ₽</x:v>
      </x:c>
      <x:c r="B43" s="55" t="n">
        <x:f>MAX(0,B42*$B$14)</x:f>
        <x:v>0</x:v>
      </x:c>
      <x:c r="C43" s="55" t="n">
        <x:f>MAX(0,C42*$B$14)</x:f>
        <x:v>0</x:v>
      </x:c>
      <x:c r="D43" s="55" t="n">
        <x:f>MAX(0,D42*$B$14)</x:f>
        <x:v>0</x:v>
      </x:c>
      <x:c r="E43" s="55" t="n">
        <x:f>MAX(0,E42*$B$14)</x:f>
        <x:v>0</x:v>
      </x:c>
      <x:c r="F43" s="55" t="n">
        <x:f>MAX(0,F42*$B$14)</x:f>
        <x:v>0</x:v>
      </x:c>
      <x:c r="G43" s="55" t="n">
        <x:f>MAX(0,G42*$B$14)</x:f>
        <x:v>0</x:v>
      </x:c>
      <x:c r="H43" s="55" t="n">
        <x:f>MAX(0,H42*$B$14)</x:f>
        <x:v>0</x:v>
      </x:c>
      <x:c r="I43" s="55" t="n">
        <x:f>MAX(0,I42*$B$14)</x:f>
        <x:v>0</x:v>
      </x:c>
      <x:c r="J43" s="55" t="n">
        <x:f>MAX(0,J42*$B$14)</x:f>
        <x:v>0</x:v>
      </x:c>
      <x:c r="K43" s="55" t="n">
        <x:f>MAX(0,K42*$B$14)</x:f>
        <x:v>0</x:v>
      </x:c>
      <x:c r="L43" s="55" t="n">
        <x:f>MAX(0,L42*$B$14)</x:f>
        <x:v>0</x:v>
      </x:c>
      <x:c r="M43" s="55" t="n">
        <x:f>MAX(0,M42*$B$14)</x:f>
        <x:v>0</x:v>
      </x:c>
      <x:c r="N43" s="55" t="n">
        <x:f>MAX(0,N42*$B$14)</x:f>
        <x:v>0</x:v>
      </x:c>
      <x:c r="O43" s="55" t="n">
        <x:f>MAX(0,O42*$B$14)</x:f>
        <x:v>0</x:v>
      </x:c>
      <x:c r="P43" s="55" t="n">
        <x:f>MAX(0,P42*$B$14)</x:f>
        <x:v>0</x:v>
      </x:c>
      <x:c r="Q43" s="55" t="n">
        <x:f>MAX(0,Q42*$B$14)</x:f>
        <x:v>0</x:v>
      </x:c>
      <x:c r="R43" s="55" t="n">
        <x:f>MAX(0,R42*$B$14)</x:f>
        <x:v>0</x:v>
      </x:c>
      <x:c r="S43" s="55" t="n">
        <x:f>MAX(0,S42*$B$14)</x:f>
        <x:v>0</x:v>
      </x:c>
      <x:c r="T43" s="55" t="n">
        <x:f>MAX(0,T42*$B$14)</x:f>
        <x:v>0</x:v>
      </x:c>
      <x:c r="U43" s="55" t="n">
        <x:f>MAX(0,U42*$B$14)</x:f>
        <x:v>0</x:v>
      </x:c>
      <x:c r="V43" s="55" t="n">
        <x:f>MAX(0,V42*$B$14)</x:f>
        <x:v>0</x:v>
      </x:c>
      <x:c r="W43" s="55" t="n">
        <x:f>MAX(0,W42*$B$14)</x:f>
        <x:v>0</x:v>
      </x:c>
      <x:c r="X43" s="55" t="n">
        <x:f>MAX(0,X42*$B$14)</x:f>
        <x:v>0</x:v>
      </x:c>
      <x:c r="Y43" s="55" t="n">
        <x:f>MAX(0,Y42*$B$14)</x:f>
        <x:v>0</x:v>
      </x:c>
      <x:c r="Z43" s="55" t="n">
        <x:f>MAX(0,Z42*$B$14)</x:f>
        <x:v>0</x:v>
      </x:c>
      <x:c r="AA43" s="55" t="n">
        <x:f>MAX(0,AA42*$B$14)</x:f>
        <x:v>0</x:v>
      </x:c>
      <x:c r="AB43" s="55" t="n">
        <x:f>MAX(0,AB42*$B$14)</x:f>
        <x:v>0</x:v>
      </x:c>
      <x:c r="AC43" s="55" t="n">
        <x:f>MAX(0,AC42*$B$14)</x:f>
        <x:v>0</x:v>
      </x:c>
      <x:c r="AD43" s="55" t="n">
        <x:f>MAX(0,AD42*$B$14)</x:f>
        <x:v>0</x:v>
      </x:c>
      <x:c r="AE43" s="55" t="n">
        <x:f>MAX(0,AE42*$B$14)</x:f>
        <x:v>0</x:v>
      </x:c>
      <x:c r="AF43" s="55" t="n">
        <x:f>MAX(0,AF42*$B$14)</x:f>
        <x:v>0</x:v>
      </x:c>
      <x:c r="AG43" s="55" t="n">
        <x:f>MAX(0,AG42*$B$14)</x:f>
        <x:v>0</x:v>
      </x:c>
      <x:c r="AH43" s="55" t="n">
        <x:f>MAX(0,AH42*$B$14)</x:f>
        <x:v>0</x:v>
      </x:c>
      <x:c r="AI43" s="55" t="n">
        <x:f>MAX(0,AI42*$B$14)</x:f>
        <x:v>0</x:v>
      </x:c>
      <x:c r="AJ43" s="55" t="n">
        <x:f>MAX(0,AJ42*$B$14)</x:f>
        <x:v>0</x:v>
      </x:c>
      <x:c r="AK43" s="55" t="n">
        <x:f>MAX(0,AK42*$B$14)</x:f>
        <x:v>0</x:v>
      </x:c>
    </x:row>
    <x:row r="44">
      <x:c r="A44" s="32" t="str">
        <x:v>Денежные поступления, ₽</x:v>
      </x:c>
      <x:c r="B44" s="55" t="n">
        <x:f>IF($B$12=0,B35,IF($B$12=1,0,0))</x:f>
        <x:v>1650000.0000000002</x:v>
      </x:c>
      <x:c r="C44" s="55" t="n">
        <x:f>IF($B$12=0,C35,IF($B$12=1,B35,0))</x:f>
        <x:v>2695000</x:v>
      </x:c>
      <x:c r="D44" s="55" t="n">
        <x:f>IF($B$12=0,D35,IF($B$12=1,C35,B35))</x:f>
        <x:v>3022800</x:v>
      </x:c>
      <x:c r="E44" s="55" t="n">
        <x:f>IF($B$12=0,E35,IF($B$12=1,D35,C35))</x:f>
        <x:v>4172322.0000000005</x:v>
      </x:c>
      <x:c r="F44" s="55" t="n">
        <x:f>IF($B$12=0,F35,IF($B$12=1,E35,D35))</x:f>
        <x:v>4603598.780000001</x:v>
      </x:c>
      <x:c r="G44" s="55" t="n">
        <x:f>IF($B$12=0,G35,IF($B$12=1,F35,E35))</x:f>
        <x:v>5030562.792200001</x:v>
      </x:c>
      <x:c r="H44" s="55" t="n">
        <x:f>IF($B$12=0,H35,IF($B$12=1,G35,F35))</x:f>
        <x:v>6278257.164278001</x:v>
      </x:c>
      <x:c r="I44" s="55" t="n">
        <x:f>IF($B$12=0,I35,IF($B$12=1,H35,G35))</x:f>
        <x:v>6806724.59263522</x:v>
      </x:c>
      <x:c r="J44" s="55" t="n">
        <x:f>IF($B$12=0,J35,IF($B$12=1,I35,H35))</x:f>
        <x:v>7329907.346708868</x:v>
      </x:c>
      <x:c r="K44" s="55" t="n">
        <x:f>IF($B$12=0,K35,IF($B$12=1,J35,I35))</x:f>
        <x:v>7847858.273241779</x:v>
      </x:c>
      <x:c r="L44" s="55" t="n">
        <x:f>IF($B$12=0,L35,IF($B$12=1,K35,J35))</x:f>
        <x:v>8360629.690509362</x:v>
      </x:c>
      <x:c r="M44" s="55" t="n">
        <x:f>IF($B$12=0,M35,IF($B$12=1,L35,K35))</x:f>
        <x:v>8868273.393604267</x:v>
      </x:c>
      <x:c r="N44" s="55" t="n">
        <x:f>IF($B$12=0,N35,IF($B$12=1,M35,L35))</x:f>
        <x:v>10195840.659668226</x:v>
      </x:c>
      <x:c r="O44" s="55" t="n">
        <x:f>IF($B$12=0,O35,IF($B$12=1,N35,M35))</x:f>
        <x:v>10803382.253071543</x:v>
      </x:c>
      <x:c r="P44" s="55" t="n">
        <x:f>IF($B$12=0,P35,IF($B$12=1,O35,N35))</x:f>
        <x:v>11404848.43054083</x:v>
      </x:c>
      <x:c r="Q44" s="55" t="n">
        <x:f>IF($B$12=0,Q35,IF($B$12=1,P35,O35))</x:f>
        <x:v>12000299.94623542</x:v>
      </x:c>
      <x:c r="R44" s="55" t="n">
        <x:f>IF($B$12=0,R35,IF($B$12=1,Q35,P35))</x:f>
        <x:v>12589796.946773067</x:v>
      </x:c>
      <x:c r="S44" s="55" t="n">
        <x:f>IF($B$12=0,S35,IF($B$12=1,R35,Q35))</x:f>
        <x:v>13173398.977305338</x:v>
      </x:c>
      <x:c r="T44" s="55" t="n">
        <x:f>IF($B$12=0,T35,IF($B$12=1,S35,R35))</x:f>
        <x:v>13751164.987532284</x:v>
      </x:c>
      <x:c r="U44" s="55" t="n">
        <x:f>IF($B$12=0,U35,IF($B$12=1,T35,S35))</x:f>
        <x:v>14323153.33765696</x:v>
      </x:c>
      <x:c r="V44" s="55" t="n">
        <x:f>IF($B$12=0,V35,IF($B$12=1,U35,T35))</x:f>
        <x:v>14889421.804280391</x:v>
      </x:c>
      <x:c r="W44" s="55" t="n">
        <x:f>IF($B$12=0,W35,IF($B$12=1,V35,U35))</x:f>
        <x:v>15450027.586237587</x:v>
      </x:c>
      <x:c r="X44" s="55" t="n">
        <x:f>IF($B$12=0,X35,IF($B$12=1,W35,V35))</x:f>
        <x:v>16005027.310375212</x:v>
      </x:c>
      <x:c r="Y44" s="55" t="n">
        <x:f>IF($B$12=0,Y35,IF($B$12=1,X35,W35))</x:f>
        <x:v>16554477.03727146</x:v>
      </x:c>
      <x:c r="Z44" s="55" t="n">
        <x:f>IF($B$12=0,Z35,IF($B$12=1,Y35,X35))</x:f>
        <x:v>20398432.266898744</x:v>
      </x:c>
      <x:c r="AA44" s="55" t="n">
        <x:f>IF($B$12=0,AA35,IF($B$12=1,Z35,Y35))</x:f>
        <x:v>21376947.94422976</x:v>
      </x:c>
      <x:c r="AB44" s="55" t="n">
        <x:f>IF($B$12=0,AB35,IF($B$12=1,AA35,Z35))</x:f>
        <x:v>22345678.46478746</x:v>
      </x:c>
      <x:c r="AC44" s="55" t="n">
        <x:f>IF($B$12=0,AC35,IF($B$12=1,AB35,AA35))</x:f>
        <x:v>23304721.680139586</x:v>
      </x:c>
      <x:c r="AD44" s="55" t="n">
        <x:f>IF($B$12=0,AD35,IF($B$12=1,AC35,AB35))</x:f>
        <x:v>24254174.46333819</x:v>
      </x:c>
      <x:c r="AE44" s="55" t="n">
        <x:f>IF($B$12=0,AE35,IF($B$12=1,AD35,AC35))</x:f>
        <x:v>25194132.71870481</x:v>
      </x:c>
      <x:c r="AF44" s="55" t="n">
        <x:f>IF($B$12=0,AF35,IF($B$12=1,AE35,AD35))</x:f>
        <x:v>26124691.391517762</x:v>
      </x:c>
      <x:c r="AG44" s="55" t="n">
        <x:f>IF($B$12=0,AG35,IF($B$12=1,AF35,AE35))</x:f>
        <x:v>27045944.477602586</x:v>
      </x:c>
      <x:c r="AH44" s="55" t="n">
        <x:f>IF($B$12=0,AH35,IF($B$12=1,AG35,AF35))</x:f>
        <x:v>27957985.03282656</x:v>
      </x:c>
      <x:c r="AI44" s="55" t="n">
        <x:f>IF($B$12=0,AI35,IF($B$12=1,AH35,AG35))</x:f>
        <x:v>28860905.182498295</x:v>
      </x:c>
      <x:c r="AJ44" s="55" t="n">
        <x:f>IF($B$12=0,AJ35,IF($B$12=1,AI35,AH35))</x:f>
        <x:v>29754796.130673315</x:v>
      </x:c>
      <x:c r="AK44" s="55" t="n">
        <x:f>IF($B$12=0,AK35,IF($B$12=1,AJ35,AI35))</x:f>
        <x:v>30639748.169366583</x:v>
      </x:c>
    </x:row>
    <x:row r="45">
      <x:c r="A45" s="32" t="str">
        <x:v>Денежные выплаты, ₽</x:v>
      </x:c>
      <x:c r="B45" s="55" t="n">
        <x:f>B36+B37+B38+B41+B43</x:f>
        <x:v>3795000</x:v>
      </x:c>
      <x:c r="C45" s="55" t="n">
        <x:f>C36+C37+C38+C41+C43</x:f>
        <x:v>4207100</x:v>
      </x:c>
      <x:c r="D45" s="55" t="n">
        <x:f>D36+D37+D38+D41+D43</x:f>
        <x:v>4266104</x:v>
      </x:c>
      <x:c r="E45" s="55" t="n">
        <x:f>E36+E37+E38+E41+E43</x:f>
        <x:v>5139417.96</x:v>
      </x:c>
      <x:c r="F45" s="55" t="n">
        <x:f>F36+F37+F38+F41+F43</x:f>
        <x:v>5217047.7804000005</x:v>
      </x:c>
      <x:c r="G45" s="55" t="n">
        <x:f>G36+G37+G38+G41+G43</x:f>
        <x:v>5293901.302596</x:v>
      </x:c>
      <x:c r="H45" s="55" t="n">
        <x:f>H36+H37+H38+H41+H43</x:f>
        <x:v>6211846.28957004</x:v>
      </x:c>
      <x:c r="I45" s="55" t="n">
        <x:f>I36+I37+I38+I41+I43</x:f>
        <x:v>6556970.42667434</x:v>
      </x:c>
      <x:c r="J45" s="55" t="n">
        <x:f>J36+J37+J38+J41+J43</x:f>
        <x:v>6651143.322407596</x:v>
      </x:c>
      <x:c r="K45" s="55" t="n">
        <x:f>K36+K37+K38+K41+K43</x:f>
        <x:v>6933433.68918352</x:v>
      </x:c>
      <x:c r="L45" s="55" t="n">
        <x:f>L36+L37+L38+L41+L43</x:f>
        <x:v>7025732.544291685</x:v>
      </x:c>
      <x:c r="M45" s="55" t="n">
        <x:f>M36+M37+M38+M41+M43</x:f>
        <x:v>7117108.410848768</x:v>
      </x:c>
      <x:c r="N45" s="55" t="n">
        <x:f>N36+N37+N38+N41+N43</x:f>
        <x:v>7652955.715540281</x:v>
      </x:c>
      <x:c r="O45" s="55" t="n">
        <x:f>O36+O37+O38+O41+O43</x:f>
        <x:v>7762313.202352878</x:v>
      </x:c>
      <x:c r="P45" s="55" t="n">
        <x:f>P36+P37+P38+P41+P43</x:f>
        <x:v>8120577.114297349</x:v>
      </x:c>
      <x:c r="Q45" s="55" t="n">
        <x:f>Q36+Q37+Q38+Q41+Q43</x:f>
        <x:v>8165862.035378376</x:v>
      </x:c>
      <x:c r="R45" s="55" t="n">
        <x:f>R36+R37+R38+R41+R43</x:f>
        <x:v>8271971.4954751525</x:v>
      </x:c>
      <x:c r="S45" s="55" t="n">
        <x:f>S36+S37+S38+S41+S43</x:f>
        <x:v>8377019.860970961</x:v>
      </x:c>
      <x:c r="T45" s="55" t="n">
        <x:f>T36+T37+T38+T41+T43</x:f>
        <x:v>8424073.09920733</x:v>
      </x:c>
      <x:c r="U45" s="55" t="n">
        <x:f>U36+U37+U38+U41+U43</x:f>
        <x:v>8527031.002229773</x:v>
      </x:c>
      <x:c r="V45" s="55" t="n">
        <x:f>V36+V37+V38+V41+V43</x:f>
        <x:v>8628959.326221991</x:v>
      </x:c>
      <x:c r="W45" s="55" t="n">
        <x:f>W36+W37+W38+W41+W43</x:f>
        <x:v>8677479.294858165</x:v>
      </x:c>
      <x:c r="X45" s="55" t="n">
        <x:f>X36+X37+X38+X41+X43</x:f>
        <x:v>8777379.245202936</x:v>
      </x:c>
      <x:c r="Y45" s="55" t="n">
        <x:f>Y36+Y37+Y38+Y41+Y43</x:f>
        <x:v>8876280.196044262</x:v>
      </x:c>
      <x:c r="Z45" s="55" t="n">
        <x:f>Z36+Z37+Z38+Z41+Z43</x:f>
        <x:v>10428511.779689385</x:v>
      </x:c>
      <x:c r="AA45" s="55" t="n">
        <x:f>AA36+AA37+AA38+AA41+AA43</x:f>
        <x:v>10954644.601608967</x:v>
      </x:c>
      <x:c r="AB45" s="55" t="n">
        <x:f>AB36+AB37+AB38+AB41+AB43</x:f>
        <x:v>11129016.095309354</x:v>
      </x:c>
      <x:c r="AC45" s="55" t="n">
        <x:f>AC36+AC37+AC38+AC41+AC43</x:f>
        <x:v>11227740.356340928</x:v>
      </x:c>
      <x:c r="AD45" s="55" t="n">
        <x:f>AD36+AD37+AD38+AD41+AD43</x:f>
        <x:v>11398641.857316677</x:v>
      </x:c>
      <x:c r="AE45" s="55" t="n">
        <x:f>AE36+AE37+AE38+AE41+AE43</x:f>
        <x:v>11567834.343282668</x:v>
      </x:c>
      <x:c r="AF45" s="55" t="n">
        <x:f>AF36+AF37+AF38+AF41+AF43</x:f>
        <x:v>11667343.668075735</x:v>
      </x:c>
      <x:c r="AG45" s="55" t="n">
        <x:f>AG36+AG37+AG38+AG41+AG43</x:f>
        <x:v>11833169.223571002</x:v>
      </x:c>
      <x:c r="AH45" s="55" t="n">
        <x:f>AH36+AH37+AH38+AH41+AH43</x:f>
        <x:v>11997336.523511318</x:v>
      </x:c>
      <x:c r="AI45" s="55" t="n">
        <x:f>AI36+AI37+AI38+AI41+AI43</x:f>
        <x:v>12097310.213044029</x:v>
      </x:c>
      <x:c r="AJ45" s="55" t="n">
        <x:f>AJ36+AJ37+AJ38+AJ41+AJ43</x:f>
        <x:v>12258210.583715532</x:v>
      </x:c>
      <x:c r="AK45" s="55" t="n">
        <x:f>AK36+AK37+AK38+AK41+AK43</x:f>
        <x:v>12417501.95068032</x:v>
      </x:c>
    </x:row>
    <x:row r="46">
      <x:c r="A46" s="32" t="str">
        <x:v>Инвестиции / финансирование, ₽</x:v>
      </x:c>
      <x:c r="B46" s="55" t="n">
        <x:f>'Допущения'!$D$15</x:f>
        <x:v>15000000</x:v>
      </x:c>
      <x:c r="C46" s="55" t="n">
        <x:f>0</x:f>
        <x:v>0</x:v>
      </x:c>
      <x:c r="D46" s="55" t="n">
        <x:f>0</x:f>
        <x:v>0</x:v>
      </x:c>
      <x:c r="E46" s="55" t="n">
        <x:f>0</x:f>
        <x:v>0</x:v>
      </x:c>
      <x:c r="F46" s="55" t="n">
        <x:f>0</x:f>
        <x:v>0</x:v>
      </x:c>
      <x:c r="G46" s="55" t="n">
        <x:f>0</x:f>
        <x:v>0</x:v>
      </x:c>
      <x:c r="H46" s="55" t="n">
        <x:f>0</x:f>
        <x:v>0</x:v>
      </x:c>
      <x:c r="I46" s="55" t="n">
        <x:f>0</x:f>
        <x:v>0</x:v>
      </x:c>
      <x:c r="J46" s="55" t="n">
        <x:f>0</x:f>
        <x:v>0</x:v>
      </x:c>
      <x:c r="K46" s="55" t="n">
        <x:f>0</x:f>
        <x:v>0</x:v>
      </x:c>
      <x:c r="L46" s="55" t="n">
        <x:f>0</x:f>
        <x:v>0</x:v>
      </x:c>
      <x:c r="M46" s="55" t="n">
        <x:f>0</x:f>
        <x:v>0</x:v>
      </x:c>
      <x:c r="N46" s="55" t="n">
        <x:f>0</x:f>
        <x:v>0</x:v>
      </x:c>
      <x:c r="O46" s="55" t="n">
        <x:f>0</x:f>
        <x:v>0</x:v>
      </x:c>
      <x:c r="P46" s="55" t="n">
        <x:f>0</x:f>
        <x:v>0</x:v>
      </x:c>
      <x:c r="Q46" s="55" t="n">
        <x:f>0</x:f>
        <x:v>0</x:v>
      </x:c>
      <x:c r="R46" s="55" t="n">
        <x:f>0</x:f>
        <x:v>0</x:v>
      </x:c>
      <x:c r="S46" s="55" t="n">
        <x:f>0</x:f>
        <x:v>0</x:v>
      </x:c>
      <x:c r="T46" s="55" t="n">
        <x:f>0</x:f>
        <x:v>0</x:v>
      </x:c>
      <x:c r="U46" s="55" t="n">
        <x:f>0</x:f>
        <x:v>0</x:v>
      </x:c>
      <x:c r="V46" s="55" t="n">
        <x:f>0</x:f>
        <x:v>0</x:v>
      </x:c>
      <x:c r="W46" s="55" t="n">
        <x:f>0</x:f>
        <x:v>0</x:v>
      </x:c>
      <x:c r="X46" s="55" t="n">
        <x:f>0</x:f>
        <x:v>0</x:v>
      </x:c>
      <x:c r="Y46" s="55" t="n">
        <x:f>0</x:f>
        <x:v>0</x:v>
      </x:c>
      <x:c r="Z46" s="55" t="n">
        <x:f>0</x:f>
        <x:v>0</x:v>
      </x:c>
      <x:c r="AA46" s="55" t="n">
        <x:f>0</x:f>
        <x:v>0</x:v>
      </x:c>
      <x:c r="AB46" s="55" t="n">
        <x:f>0</x:f>
        <x:v>0</x:v>
      </x:c>
      <x:c r="AC46" s="55" t="n">
        <x:f>0</x:f>
        <x:v>0</x:v>
      </x:c>
      <x:c r="AD46" s="55" t="n">
        <x:f>0</x:f>
        <x:v>0</x:v>
      </x:c>
      <x:c r="AE46" s="55" t="n">
        <x:f>0</x:f>
        <x:v>0</x:v>
      </x:c>
      <x:c r="AF46" s="55" t="n">
        <x:f>0</x:f>
        <x:v>0</x:v>
      </x:c>
      <x:c r="AG46" s="55" t="n">
        <x:f>0</x:f>
        <x:v>0</x:v>
      </x:c>
      <x:c r="AH46" s="55" t="n">
        <x:f>0</x:f>
        <x:v>0</x:v>
      </x:c>
      <x:c r="AI46" s="55" t="n">
        <x:f>0</x:f>
        <x:v>0</x:v>
      </x:c>
      <x:c r="AJ46" s="55" t="n">
        <x:f>0</x:f>
        <x:v>0</x:v>
      </x:c>
      <x:c r="AK46" s="55" t="n">
        <x:f>0</x:f>
        <x:v>0</x:v>
      </x:c>
    </x:row>
    <x:row r="47">
      <x:c r="A47" s="32" t="str">
        <x:v>Денежные средства на конец месяца, ₽</x:v>
      </x:c>
      <x:c r="B47" s="55" t="n">
        <x:f>B44-B45+B46</x:f>
        <x:v>12855000</x:v>
      </x:c>
      <x:c r="C47" s="55" t="n">
        <x:f>B47+C44-C45+C46</x:f>
        <x:v>11342900</x:v>
      </x:c>
      <x:c r="D47" s="55" t="n">
        <x:f>C47+D44-D45+D46</x:f>
        <x:v>10099596</x:v>
      </x:c>
      <x:c r="E47" s="55" t="n">
        <x:f>D47+E44-E45+E46</x:f>
        <x:v>9132500.04</x:v>
      </x:c>
      <x:c r="F47" s="55" t="n">
        <x:f>E47+F44-F45+F46</x:f>
        <x:v>8519051.0396</x:v>
      </x:c>
      <x:c r="G47" s="55" t="n">
        <x:f>F47+G44-G45+G46</x:f>
        <x:v>8255712.529204001</x:v>
      </x:c>
      <x:c r="H47" s="55" t="n">
        <x:f>G47+H44-H45+H46</x:f>
        <x:v>8322123.40391196</x:v>
      </x:c>
      <x:c r="I47" s="55" t="n">
        <x:f>H47+I44-I45+I46</x:f>
        <x:v>8571877.569872841</x:v>
      </x:c>
      <x:c r="J47" s="55" t="n">
        <x:f>I47+J44-J45+J46</x:f>
        <x:v>9250641.594174113</x:v>
      </x:c>
      <x:c r="K47" s="55" t="n">
        <x:f>J47+K44-K45+K46</x:f>
        <x:v>10165066.17823237</x:v>
      </x:c>
      <x:c r="L47" s="55" t="n">
        <x:f>K47+L44-L45+L46</x:f>
        <x:v>11499963.324450046</x:v>
      </x:c>
      <x:c r="M47" s="55" t="n">
        <x:f>L47+M44-M45+M46</x:f>
        <x:v>13251128.307205545</x:v>
      </x:c>
      <x:c r="N47" s="55" t="n">
        <x:f>M47+N44-N45+N46</x:f>
        <x:v>15794013.251333492</x:v>
      </x:c>
      <x:c r="O47" s="55" t="n">
        <x:f>N47+O44-O45+O46</x:f>
        <x:v>18835082.30205216</x:v>
      </x:c>
      <x:c r="P47" s="55" t="n">
        <x:f>O47+P44-P45+P46</x:f>
        <x:v>22119353.61829564</x:v>
      </x:c>
      <x:c r="Q47" s="55" t="n">
        <x:f>P47+Q44-Q45+Q46</x:f>
        <x:v>25953791.529152684</x:v>
      </x:c>
      <x:c r="R47" s="55" t="n">
        <x:f>Q47+R44-R45+R46</x:f>
        <x:v>30271616.9804506</x:v>
      </x:c>
      <x:c r="S47" s="55" t="n">
        <x:f>R47+S44-S45+S46</x:f>
        <x:v>35067996.09678498</x:v>
      </x:c>
      <x:c r="T47" s="55" t="n">
        <x:f>S47+T44-T45+T46</x:f>
        <x:v>40395087.98510994</x:v>
      </x:c>
      <x:c r="U47" s="55" t="n">
        <x:f>T47+U44-U45+U46</x:f>
        <x:v>46191210.32053713</x:v>
      </x:c>
      <x:c r="V47" s="55" t="n">
        <x:f>U47+V44-V45+V46</x:f>
        <x:v>52451672.79859553</x:v>
      </x:c>
      <x:c r="W47" s="55" t="n">
        <x:f>V47+W44-W45+W46</x:f>
        <x:v>59224221.08997496</x:v>
      </x:c>
      <x:c r="X47" s="55" t="n">
        <x:f>W47+X44-X45+X46</x:f>
        <x:v>66451869.15514723</x:v>
      </x:c>
      <x:c r="Y47" s="55" t="n">
        <x:f>X47+Y44-Y45+Y46</x:f>
        <x:v>74130065.99637443</x:v>
      </x:c>
      <x:c r="Z47" s="55" t="n">
        <x:f>Y47+Z44-Z45+Z46</x:f>
        <x:v>84099986.4835838</x:v>
      </x:c>
      <x:c r="AA47" s="55" t="n">
        <x:f>Z47+AA44-AA45+AA46</x:f>
        <x:v>94522289.8262046</x:v>
      </x:c>
      <x:c r="AB47" s="55" t="n">
        <x:f>AA47+AB44-AB45+AB46</x:f>
        <x:v>105738952.1956827</x:v>
      </x:c>
      <x:c r="AC47" s="55" t="n">
        <x:f>AB47+AC44-AC45+AC46</x:f>
        <x:v>117815933.51948136</x:v>
      </x:c>
      <x:c r="AD47" s="55" t="n">
        <x:f>AC47+AD44-AD45+AD46</x:f>
        <x:v>130671466.12550288</x:v>
      </x:c>
      <x:c r="AE47" s="55" t="n">
        <x:f>AD47+AE44-AE45+AE46</x:f>
        <x:v>144297764.50092503</x:v>
      </x:c>
      <x:c r="AF47" s="55" t="n">
        <x:f>AE47+AF44-AF45+AF46</x:f>
        <x:v>158755112.22436705</x:v>
      </x:c>
      <x:c r="AG47" s="55" t="n">
        <x:f>AF47+AG44-AG45+AG46</x:f>
        <x:v>173967887.47839862</x:v>
      </x:c>
      <x:c r="AH47" s="55" t="n">
        <x:f>AG47+AH44-AH45+AH46</x:f>
        <x:v>189928535.98771387</x:v>
      </x:c>
      <x:c r="AI47" s="55" t="n">
        <x:f>AH47+AI44-AI45+AI46</x:f>
        <x:v>206692130.95716816</x:v>
      </x:c>
      <x:c r="AJ47" s="55" t="n">
        <x:f>AI47+AJ44-AJ45+AJ46</x:f>
        <x:v>224188716.50412595</x:v>
      </x:c>
      <x:c r="AK47" s="55" t="n">
        <x:f>AJ47+AK44-AK45+AK46</x:f>
        <x:v>242410962.72281224</x:v>
      </x:c>
    </x:row>
    <x:row r="48">
      <x:c r="A48" s="32" t="str">
        <x:v>Ниже резерва?</x:v>
      </x:c>
      <x:c r="B48" t="n">
        <x:f>IF(B47&lt;'Допущения'!$D$26,1,0)</x:f>
        <x:v>0</x:v>
      </x:c>
      <x:c r="C48" t="n">
        <x:f>IF(C47&lt;'Допущения'!$D$26,1,0)</x:f>
        <x:v>0</x:v>
      </x:c>
      <x:c r="D48" t="n">
        <x:f>IF(D47&lt;'Допущения'!$D$26,1,0)</x:f>
        <x:v>0</x:v>
      </x:c>
      <x:c r="E48" t="n">
        <x:f>IF(E47&lt;'Допущения'!$D$26,1,0)</x:f>
        <x:v>0</x:v>
      </x:c>
      <x:c r="F48" t="n">
        <x:f>IF(F47&lt;'Допущения'!$D$26,1,0)</x:f>
        <x:v>0</x:v>
      </x:c>
      <x:c r="G48" t="n">
        <x:f>IF(G47&lt;'Допущения'!$D$26,1,0)</x:f>
        <x:v>0</x:v>
      </x:c>
      <x:c r="H48" t="n">
        <x:f>IF(H47&lt;'Допущения'!$D$26,1,0)</x:f>
        <x:v>0</x:v>
      </x:c>
      <x:c r="I48" t="n">
        <x:f>IF(I47&lt;'Допущения'!$D$26,1,0)</x:f>
        <x:v>0</x:v>
      </x:c>
      <x:c r="J48" t="n">
        <x:f>IF(J47&lt;'Допущения'!$D$26,1,0)</x:f>
        <x:v>0</x:v>
      </x:c>
      <x:c r="K48" t="n">
        <x:f>IF(K47&lt;'Допущения'!$D$26,1,0)</x:f>
        <x:v>0</x:v>
      </x:c>
      <x:c r="L48" t="n">
        <x:f>IF(L47&lt;'Допущения'!$D$26,1,0)</x:f>
        <x:v>0</x:v>
      </x:c>
      <x:c r="M48" t="n">
        <x:f>IF(M47&lt;'Допущения'!$D$26,1,0)</x:f>
        <x:v>0</x:v>
      </x:c>
      <x:c r="N48" t="n">
        <x:f>IF(N47&lt;'Допущения'!$D$26,1,0)</x:f>
        <x:v>0</x:v>
      </x:c>
      <x:c r="O48" t="n">
        <x:f>IF(O47&lt;'Допущения'!$D$26,1,0)</x:f>
        <x:v>0</x:v>
      </x:c>
      <x:c r="P48" t="n">
        <x:f>IF(P47&lt;'Допущения'!$D$26,1,0)</x:f>
        <x:v>0</x:v>
      </x:c>
      <x:c r="Q48" t="n">
        <x:f>IF(Q47&lt;'Допущения'!$D$26,1,0)</x:f>
        <x:v>0</x:v>
      </x:c>
      <x:c r="R48" t="n">
        <x:f>IF(R47&lt;'Допущения'!$D$26,1,0)</x:f>
        <x:v>0</x:v>
      </x:c>
      <x:c r="S48" t="n">
        <x:f>IF(S47&lt;'Допущения'!$D$26,1,0)</x:f>
        <x:v>0</x:v>
      </x:c>
      <x:c r="T48" t="n">
        <x:f>IF(T47&lt;'Допущения'!$D$26,1,0)</x:f>
        <x:v>0</x:v>
      </x:c>
      <x:c r="U48" t="n">
        <x:f>IF(U47&lt;'Допущения'!$D$26,1,0)</x:f>
        <x:v>0</x:v>
      </x:c>
      <x:c r="V48" t="n">
        <x:f>IF(V47&lt;'Допущения'!$D$26,1,0)</x:f>
        <x:v>0</x:v>
      </x:c>
      <x:c r="W48" t="n">
        <x:f>IF(W47&lt;'Допущения'!$D$26,1,0)</x:f>
        <x:v>0</x:v>
      </x:c>
      <x:c r="X48" t="n">
        <x:f>IF(X47&lt;'Допущения'!$D$26,1,0)</x:f>
        <x:v>0</x:v>
      </x:c>
      <x:c r="Y48" t="n">
        <x:f>IF(Y47&lt;'Допущения'!$D$26,1,0)</x:f>
        <x:v>0</x:v>
      </x:c>
      <x:c r="Z48" t="n">
        <x:f>IF(Z47&lt;'Допущения'!$D$26,1,0)</x:f>
        <x:v>0</x:v>
      </x:c>
      <x:c r="AA48" t="n">
        <x:f>IF(AA47&lt;'Допущения'!$D$26,1,0)</x:f>
        <x:v>0</x:v>
      </x:c>
      <x:c r="AB48" t="n">
        <x:f>IF(AB47&lt;'Допущения'!$D$26,1,0)</x:f>
        <x:v>0</x:v>
      </x:c>
      <x:c r="AC48" t="n">
        <x:f>IF(AC47&lt;'Допущения'!$D$26,1,0)</x:f>
        <x:v>0</x:v>
      </x:c>
      <x:c r="AD48" t="n">
        <x:f>IF(AD47&lt;'Допущения'!$D$26,1,0)</x:f>
        <x:v>0</x:v>
      </x:c>
      <x:c r="AE48" t="n">
        <x:f>IF(AE47&lt;'Допущения'!$D$26,1,0)</x:f>
        <x:v>0</x:v>
      </x:c>
      <x:c r="AF48" t="n">
        <x:f>IF(AF47&lt;'Допущения'!$D$26,1,0)</x:f>
        <x:v>0</x:v>
      </x:c>
      <x:c r="AG48" t="n">
        <x:f>IF(AG47&lt;'Допущения'!$D$26,1,0)</x:f>
        <x:v>0</x:v>
      </x:c>
      <x:c r="AH48" t="n">
        <x:f>IF(AH47&lt;'Допущения'!$D$26,1,0)</x:f>
        <x:v>0</x:v>
      </x:c>
      <x:c r="AI48" t="n">
        <x:f>IF(AI47&lt;'Допущения'!$D$26,1,0)</x:f>
        <x:v>0</x:v>
      </x:c>
      <x:c r="AJ48" t="n">
        <x:f>IF(AJ47&lt;'Допущения'!$D$26,1,0)</x:f>
        <x:v>0</x:v>
      </x:c>
      <x:c r="AK48" t="n">
        <x:f>IF(AK47&lt;'Допущения'!$D$26,1,0)</x:f>
        <x:v>0</x:v>
      </x:c>
    </x:row>
    <x:row r="49">
      <x:c r="A49" s="32" t="str">
        <x:v>Первый месяц ниже резерва</x:v>
      </x:c>
      <x:c r="B49" t="n">
        <x:f>IF(B48=1,1,0)</x:f>
        <x:v>0</x:v>
      </x:c>
      <x:c r="C49" t="n">
        <x:f>IF(B49&gt;0,B49,IF(C48=1,2,0))</x:f>
        <x:v>0</x:v>
      </x:c>
      <x:c r="D49" t="n">
        <x:f>IF(C49&gt;0,C49,IF(D48=1,3,0))</x:f>
        <x:v>0</x:v>
      </x:c>
      <x:c r="E49" t="n">
        <x:f>IF(D49&gt;0,D49,IF(E48=1,4,0))</x:f>
        <x:v>0</x:v>
      </x:c>
      <x:c r="F49" t="n">
        <x:f>IF(E49&gt;0,E49,IF(F48=1,5,0))</x:f>
        <x:v>0</x:v>
      </x:c>
      <x:c r="G49" t="n">
        <x:f>IF(F49&gt;0,F49,IF(G48=1,6,0))</x:f>
        <x:v>0</x:v>
      </x:c>
      <x:c r="H49" t="n">
        <x:f>IF(G49&gt;0,G49,IF(H48=1,7,0))</x:f>
        <x:v>0</x:v>
      </x:c>
      <x:c r="I49" t="n">
        <x:f>IF(H49&gt;0,H49,IF(I48=1,8,0))</x:f>
        <x:v>0</x:v>
      </x:c>
      <x:c r="J49" t="n">
        <x:f>IF(I49&gt;0,I49,IF(J48=1,9,0))</x:f>
        <x:v>0</x:v>
      </x:c>
      <x:c r="K49" t="n">
        <x:f>IF(J49&gt;0,J49,IF(K48=1,10,0))</x:f>
        <x:v>0</x:v>
      </x:c>
      <x:c r="L49" t="n">
        <x:f>IF(K49&gt;0,K49,IF(L48=1,11,0))</x:f>
        <x:v>0</x:v>
      </x:c>
      <x:c r="M49" t="n">
        <x:f>IF(L49&gt;0,L49,IF(M48=1,12,0))</x:f>
        <x:v>0</x:v>
      </x:c>
      <x:c r="N49" t="n">
        <x:f>IF(M49&gt;0,M49,IF(N48=1,13,0))</x:f>
        <x:v>0</x:v>
      </x:c>
      <x:c r="O49" t="n">
        <x:f>IF(N49&gt;0,N49,IF(O48=1,14,0))</x:f>
        <x:v>0</x:v>
      </x:c>
      <x:c r="P49" t="n">
        <x:f>IF(O49&gt;0,O49,IF(P48=1,15,0))</x:f>
        <x:v>0</x:v>
      </x:c>
      <x:c r="Q49" t="n">
        <x:f>IF(P49&gt;0,P49,IF(Q48=1,16,0))</x:f>
        <x:v>0</x:v>
      </x:c>
      <x:c r="R49" t="n">
        <x:f>IF(Q49&gt;0,Q49,IF(R48=1,17,0))</x:f>
        <x:v>0</x:v>
      </x:c>
      <x:c r="S49" t="n">
        <x:f>IF(R49&gt;0,R49,IF(S48=1,18,0))</x:f>
        <x:v>0</x:v>
      </x:c>
      <x:c r="T49" t="n">
        <x:f>IF(S49&gt;0,S49,IF(T48=1,19,0))</x:f>
        <x:v>0</x:v>
      </x:c>
      <x:c r="U49" t="n">
        <x:f>IF(T49&gt;0,T49,IF(U48=1,20,0))</x:f>
        <x:v>0</x:v>
      </x:c>
      <x:c r="V49" t="n">
        <x:f>IF(U49&gt;0,U49,IF(V48=1,21,0))</x:f>
        <x:v>0</x:v>
      </x:c>
      <x:c r="W49" t="n">
        <x:f>IF(V49&gt;0,V49,IF(W48=1,22,0))</x:f>
        <x:v>0</x:v>
      </x:c>
      <x:c r="X49" t="n">
        <x:f>IF(W49&gt;0,W49,IF(X48=1,23,0))</x:f>
        <x:v>0</x:v>
      </x:c>
      <x:c r="Y49" t="n">
        <x:f>IF(X49&gt;0,X49,IF(Y48=1,24,0))</x:f>
        <x:v>0</x:v>
      </x:c>
      <x:c r="Z49" t="n">
        <x:f>IF(Y49&gt;0,Y49,IF(Z48=1,25,0))</x:f>
        <x:v>0</x:v>
      </x:c>
      <x:c r="AA49" t="n">
        <x:f>IF(Z49&gt;0,Z49,IF(AA48=1,26,0))</x:f>
        <x:v>0</x:v>
      </x:c>
      <x:c r="AB49" t="n">
        <x:f>IF(AA49&gt;0,AA49,IF(AB48=1,27,0))</x:f>
        <x:v>0</x:v>
      </x:c>
      <x:c r="AC49" t="n">
        <x:f>IF(AB49&gt;0,AB49,IF(AC48=1,28,0))</x:f>
        <x:v>0</x:v>
      </x:c>
      <x:c r="AD49" t="n">
        <x:f>IF(AC49&gt;0,AC49,IF(AD48=1,29,0))</x:f>
        <x:v>0</x:v>
      </x:c>
      <x:c r="AE49" t="n">
        <x:f>IF(AD49&gt;0,AD49,IF(AE48=1,30,0))</x:f>
        <x:v>0</x:v>
      </x:c>
      <x:c r="AF49" t="n">
        <x:f>IF(AE49&gt;0,AE49,IF(AF48=1,31,0))</x:f>
        <x:v>0</x:v>
      </x:c>
      <x:c r="AG49" t="n">
        <x:f>IF(AF49&gt;0,AF49,IF(AG48=1,32,0))</x:f>
        <x:v>0</x:v>
      </x:c>
      <x:c r="AH49" t="n">
        <x:f>IF(AG49&gt;0,AG49,IF(AH48=1,33,0))</x:f>
        <x:v>0</x:v>
      </x:c>
      <x:c r="AI49" t="n">
        <x:f>IF(AH49&gt;0,AH49,IF(AI48=1,34,0))</x:f>
        <x:v>0</x:v>
      </x:c>
      <x:c r="AJ49" t="n">
        <x:f>IF(AI49&gt;0,AI49,IF(AJ48=1,35,0))</x:f>
        <x:v>0</x:v>
      </x:c>
      <x:c r="AK49" t="n">
        <x:f>IF(AJ49&gt;0,AJ49,IF(AK48=1,36,0))</x:f>
        <x:v>0</x:v>
      </x:c>
    </x:row>
    <x:row r="50">
      <x:c r="A50" s="32" t="str">
        <x:v>Деньги &lt; 0?</x:v>
      </x:c>
      <x:c r="B50" t="n">
        <x:f>IF(B47&lt;0,1,0)</x:f>
        <x:v>0</x:v>
      </x:c>
      <x:c r="C50" t="n">
        <x:f>IF(C47&lt;0,1,0)</x:f>
        <x:v>0</x:v>
      </x:c>
      <x:c r="D50" t="n">
        <x:f>IF(D47&lt;0,1,0)</x:f>
        <x:v>0</x:v>
      </x:c>
      <x:c r="E50" t="n">
        <x:f>IF(E47&lt;0,1,0)</x:f>
        <x:v>0</x:v>
      </x:c>
      <x:c r="F50" t="n">
        <x:f>IF(F47&lt;0,1,0)</x:f>
        <x:v>0</x:v>
      </x:c>
      <x:c r="G50" t="n">
        <x:f>IF(G47&lt;0,1,0)</x:f>
        <x:v>0</x:v>
      </x:c>
      <x:c r="H50" t="n">
        <x:f>IF(H47&lt;0,1,0)</x:f>
        <x:v>0</x:v>
      </x:c>
      <x:c r="I50" t="n">
        <x:f>IF(I47&lt;0,1,0)</x:f>
        <x:v>0</x:v>
      </x:c>
      <x:c r="J50" t="n">
        <x:f>IF(J47&lt;0,1,0)</x:f>
        <x:v>0</x:v>
      </x:c>
      <x:c r="K50" t="n">
        <x:f>IF(K47&lt;0,1,0)</x:f>
        <x:v>0</x:v>
      </x:c>
      <x:c r="L50" t="n">
        <x:f>IF(L47&lt;0,1,0)</x:f>
        <x:v>0</x:v>
      </x:c>
      <x:c r="M50" t="n">
        <x:f>IF(M47&lt;0,1,0)</x:f>
        <x:v>0</x:v>
      </x:c>
      <x:c r="N50" t="n">
        <x:f>IF(N47&lt;0,1,0)</x:f>
        <x:v>0</x:v>
      </x:c>
      <x:c r="O50" t="n">
        <x:f>IF(O47&lt;0,1,0)</x:f>
        <x:v>0</x:v>
      </x:c>
      <x:c r="P50" t="n">
        <x:f>IF(P47&lt;0,1,0)</x:f>
        <x:v>0</x:v>
      </x:c>
      <x:c r="Q50" t="n">
        <x:f>IF(Q47&lt;0,1,0)</x:f>
        <x:v>0</x:v>
      </x:c>
      <x:c r="R50" t="n">
        <x:f>IF(R47&lt;0,1,0)</x:f>
        <x:v>0</x:v>
      </x:c>
      <x:c r="S50" t="n">
        <x:f>IF(S47&lt;0,1,0)</x:f>
        <x:v>0</x:v>
      </x:c>
      <x:c r="T50" t="n">
        <x:f>IF(T47&lt;0,1,0)</x:f>
        <x:v>0</x:v>
      </x:c>
      <x:c r="U50" t="n">
        <x:f>IF(U47&lt;0,1,0)</x:f>
        <x:v>0</x:v>
      </x:c>
      <x:c r="V50" t="n">
        <x:f>IF(V47&lt;0,1,0)</x:f>
        <x:v>0</x:v>
      </x:c>
      <x:c r="W50" t="n">
        <x:f>IF(W47&lt;0,1,0)</x:f>
        <x:v>0</x:v>
      </x:c>
      <x:c r="X50" t="n">
        <x:f>IF(X47&lt;0,1,0)</x:f>
        <x:v>0</x:v>
      </x:c>
      <x:c r="Y50" t="n">
        <x:f>IF(Y47&lt;0,1,0)</x:f>
        <x:v>0</x:v>
      </x:c>
      <x:c r="Z50" t="n">
        <x:f>IF(Z47&lt;0,1,0)</x:f>
        <x:v>0</x:v>
      </x:c>
      <x:c r="AA50" t="n">
        <x:f>IF(AA47&lt;0,1,0)</x:f>
        <x:v>0</x:v>
      </x:c>
      <x:c r="AB50" t="n">
        <x:f>IF(AB47&lt;0,1,0)</x:f>
        <x:v>0</x:v>
      </x:c>
      <x:c r="AC50" t="n">
        <x:f>IF(AC47&lt;0,1,0)</x:f>
        <x:v>0</x:v>
      </x:c>
      <x:c r="AD50" t="n">
        <x:f>IF(AD47&lt;0,1,0)</x:f>
        <x:v>0</x:v>
      </x:c>
      <x:c r="AE50" t="n">
        <x:f>IF(AE47&lt;0,1,0)</x:f>
        <x:v>0</x:v>
      </x:c>
      <x:c r="AF50" t="n">
        <x:f>IF(AF47&lt;0,1,0)</x:f>
        <x:v>0</x:v>
      </x:c>
      <x:c r="AG50" t="n">
        <x:f>IF(AG47&lt;0,1,0)</x:f>
        <x:v>0</x:v>
      </x:c>
      <x:c r="AH50" t="n">
        <x:f>IF(AH47&lt;0,1,0)</x:f>
        <x:v>0</x:v>
      </x:c>
      <x:c r="AI50" t="n">
        <x:f>IF(AI47&lt;0,1,0)</x:f>
        <x:v>0</x:v>
      </x:c>
      <x:c r="AJ50" t="n">
        <x:f>IF(AJ47&lt;0,1,0)</x:f>
        <x:v>0</x:v>
      </x:c>
      <x:c r="AK50" t="n">
        <x:f>IF(AK47&lt;0,1,0)</x:f>
        <x:v>0</x:v>
      </x:c>
    </x:row>
    <x:row r="51">
      <x:c r="A51" s="32" t="str">
        <x:v>Первый месяц денег &lt; 0</x:v>
      </x:c>
      <x:c r="B51" t="n">
        <x:f>IF(B50=1,1,0)</x:f>
        <x:v>0</x:v>
      </x:c>
      <x:c r="C51" t="n">
        <x:f>IF(B51&gt;0,B51,IF(C50=1,2,0))</x:f>
        <x:v>0</x:v>
      </x:c>
      <x:c r="D51" t="n">
        <x:f>IF(C51&gt;0,C51,IF(D50=1,3,0))</x:f>
        <x:v>0</x:v>
      </x:c>
      <x:c r="E51" t="n">
        <x:f>IF(D51&gt;0,D51,IF(E50=1,4,0))</x:f>
        <x:v>0</x:v>
      </x:c>
      <x:c r="F51" t="n">
        <x:f>IF(E51&gt;0,E51,IF(F50=1,5,0))</x:f>
        <x:v>0</x:v>
      </x:c>
      <x:c r="G51" t="n">
        <x:f>IF(F51&gt;0,F51,IF(G50=1,6,0))</x:f>
        <x:v>0</x:v>
      </x:c>
      <x:c r="H51" t="n">
        <x:f>IF(G51&gt;0,G51,IF(H50=1,7,0))</x:f>
        <x:v>0</x:v>
      </x:c>
      <x:c r="I51" t="n">
        <x:f>IF(H51&gt;0,H51,IF(I50=1,8,0))</x:f>
        <x:v>0</x:v>
      </x:c>
      <x:c r="J51" t="n">
        <x:f>IF(I51&gt;0,I51,IF(J50=1,9,0))</x:f>
        <x:v>0</x:v>
      </x:c>
      <x:c r="K51" t="n">
        <x:f>IF(J51&gt;0,J51,IF(K50=1,10,0))</x:f>
        <x:v>0</x:v>
      </x:c>
      <x:c r="L51" t="n">
        <x:f>IF(K51&gt;0,K51,IF(L50=1,11,0))</x:f>
        <x:v>0</x:v>
      </x:c>
      <x:c r="M51" t="n">
        <x:f>IF(L51&gt;0,L51,IF(M50=1,12,0))</x:f>
        <x:v>0</x:v>
      </x:c>
      <x:c r="N51" t="n">
        <x:f>IF(M51&gt;0,M51,IF(N50=1,13,0))</x:f>
        <x:v>0</x:v>
      </x:c>
      <x:c r="O51" t="n">
        <x:f>IF(N51&gt;0,N51,IF(O50=1,14,0))</x:f>
        <x:v>0</x:v>
      </x:c>
      <x:c r="P51" t="n">
        <x:f>IF(O51&gt;0,O51,IF(P50=1,15,0))</x:f>
        <x:v>0</x:v>
      </x:c>
      <x:c r="Q51" t="n">
        <x:f>IF(P51&gt;0,P51,IF(Q50=1,16,0))</x:f>
        <x:v>0</x:v>
      </x:c>
      <x:c r="R51" t="n">
        <x:f>IF(Q51&gt;0,Q51,IF(R50=1,17,0))</x:f>
        <x:v>0</x:v>
      </x:c>
      <x:c r="S51" t="n">
        <x:f>IF(R51&gt;0,R51,IF(S50=1,18,0))</x:f>
        <x:v>0</x:v>
      </x:c>
      <x:c r="T51" t="n">
        <x:f>IF(S51&gt;0,S51,IF(T50=1,19,0))</x:f>
        <x:v>0</x:v>
      </x:c>
      <x:c r="U51" t="n">
        <x:f>IF(T51&gt;0,T51,IF(U50=1,20,0))</x:f>
        <x:v>0</x:v>
      </x:c>
      <x:c r="V51" t="n">
        <x:f>IF(U51&gt;0,U51,IF(V50=1,21,0))</x:f>
        <x:v>0</x:v>
      </x:c>
      <x:c r="W51" t="n">
        <x:f>IF(V51&gt;0,V51,IF(W50=1,22,0))</x:f>
        <x:v>0</x:v>
      </x:c>
      <x:c r="X51" t="n">
        <x:f>IF(W51&gt;0,W51,IF(X50=1,23,0))</x:f>
        <x:v>0</x:v>
      </x:c>
      <x:c r="Y51" t="n">
        <x:f>IF(X51&gt;0,X51,IF(Y50=1,24,0))</x:f>
        <x:v>0</x:v>
      </x:c>
      <x:c r="Z51" t="n">
        <x:f>IF(Y51&gt;0,Y51,IF(Z50=1,25,0))</x:f>
        <x:v>0</x:v>
      </x:c>
      <x:c r="AA51" t="n">
        <x:f>IF(Z51&gt;0,Z51,IF(AA50=1,26,0))</x:f>
        <x:v>0</x:v>
      </x:c>
      <x:c r="AB51" t="n">
        <x:f>IF(AA51&gt;0,AA51,IF(AB50=1,27,0))</x:f>
        <x:v>0</x:v>
      </x:c>
      <x:c r="AC51" t="n">
        <x:f>IF(AB51&gt;0,AB51,IF(AC50=1,28,0))</x:f>
        <x:v>0</x:v>
      </x:c>
      <x:c r="AD51" t="n">
        <x:f>IF(AC51&gt;0,AC51,IF(AD50=1,29,0))</x:f>
        <x:v>0</x:v>
      </x:c>
      <x:c r="AE51" t="n">
        <x:f>IF(AD51&gt;0,AD51,IF(AE50=1,30,0))</x:f>
        <x:v>0</x:v>
      </x:c>
      <x:c r="AF51" t="n">
        <x:f>IF(AE51&gt;0,AE51,IF(AF50=1,31,0))</x:f>
        <x:v>0</x:v>
      </x:c>
      <x:c r="AG51" t="n">
        <x:f>IF(AF51&gt;0,AF51,IF(AG50=1,32,0))</x:f>
        <x:v>0</x:v>
      </x:c>
      <x:c r="AH51" t="n">
        <x:f>IF(AG51&gt;0,AG51,IF(AH50=1,33,0))</x:f>
        <x:v>0</x:v>
      </x:c>
      <x:c r="AI51" t="n">
        <x:f>IF(AH51&gt;0,AH51,IF(AI50=1,34,0))</x:f>
        <x:v>0</x:v>
      </x:c>
      <x:c r="AJ51" t="n">
        <x:f>IF(AI51&gt;0,AI51,IF(AJ50=1,35,0))</x:f>
        <x:v>0</x:v>
      </x:c>
      <x:c r="AK51" t="n">
        <x:f>IF(AJ51&gt;0,AJ51,IF(AK50=1,36,0))</x:f>
        <x:v>0</x:v>
      </x:c>
    </x:row>
    <x:row r="52">
      <x:c r="A52" s="32" t="str">
        <x:v>Потребность в дополнительном капитале до резерва, ₽</x:v>
      </x:c>
      <x:c r="B52" s="55" t="n">
        <x:f>MAX(0,'Допущения'!$D$26-B47)</x:f>
        <x:v>0</x:v>
      </x:c>
      <x:c r="C52" s="55" t="n">
        <x:f>MAX(0,'Допущения'!$D$26-C47)</x:f>
        <x:v>0</x:v>
      </x:c>
      <x:c r="D52" s="55" t="n">
        <x:f>MAX(0,'Допущения'!$D$26-D47)</x:f>
        <x:v>0</x:v>
      </x:c>
      <x:c r="E52" s="55" t="n">
        <x:f>MAX(0,'Допущения'!$D$26-E47)</x:f>
        <x:v>0</x:v>
      </x:c>
      <x:c r="F52" s="55" t="n">
        <x:f>MAX(0,'Допущения'!$D$26-F47)</x:f>
        <x:v>0</x:v>
      </x:c>
      <x:c r="G52" s="55" t="n">
        <x:f>MAX(0,'Допущения'!$D$26-G47)</x:f>
        <x:v>0</x:v>
      </x:c>
      <x:c r="H52" s="55" t="n">
        <x:f>MAX(0,'Допущения'!$D$26-H47)</x:f>
        <x:v>0</x:v>
      </x:c>
      <x:c r="I52" s="55" t="n">
        <x:f>MAX(0,'Допущения'!$D$26-I47)</x:f>
        <x:v>0</x:v>
      </x:c>
      <x:c r="J52" s="55" t="n">
        <x:f>MAX(0,'Допущения'!$D$26-J47)</x:f>
        <x:v>0</x:v>
      </x:c>
      <x:c r="K52" s="55" t="n">
        <x:f>MAX(0,'Допущения'!$D$26-K47)</x:f>
        <x:v>0</x:v>
      </x:c>
      <x:c r="L52" s="55" t="n">
        <x:f>MAX(0,'Допущения'!$D$26-L47)</x:f>
        <x:v>0</x:v>
      </x:c>
      <x:c r="M52" s="55" t="n">
        <x:f>MAX(0,'Допущения'!$D$26-M47)</x:f>
        <x:v>0</x:v>
      </x:c>
      <x:c r="N52" s="55" t="n">
        <x:f>MAX(0,'Допущения'!$D$26-N47)</x:f>
        <x:v>0</x:v>
      </x:c>
      <x:c r="O52" s="55" t="n">
        <x:f>MAX(0,'Допущения'!$D$26-O47)</x:f>
        <x:v>0</x:v>
      </x:c>
      <x:c r="P52" s="55" t="n">
        <x:f>MAX(0,'Допущения'!$D$26-P47)</x:f>
        <x:v>0</x:v>
      </x:c>
      <x:c r="Q52" s="55" t="n">
        <x:f>MAX(0,'Допущения'!$D$26-Q47)</x:f>
        <x:v>0</x:v>
      </x:c>
      <x:c r="R52" s="55" t="n">
        <x:f>MAX(0,'Допущения'!$D$26-R47)</x:f>
        <x:v>0</x:v>
      </x:c>
      <x:c r="S52" s="55" t="n">
        <x:f>MAX(0,'Допущения'!$D$26-S47)</x:f>
        <x:v>0</x:v>
      </x:c>
      <x:c r="T52" s="55" t="n">
        <x:f>MAX(0,'Допущения'!$D$26-T47)</x:f>
        <x:v>0</x:v>
      </x:c>
      <x:c r="U52" s="55" t="n">
        <x:f>MAX(0,'Допущения'!$D$26-U47)</x:f>
        <x:v>0</x:v>
      </x:c>
      <x:c r="V52" s="55" t="n">
        <x:f>MAX(0,'Допущения'!$D$26-V47)</x:f>
        <x:v>0</x:v>
      </x:c>
      <x:c r="W52" s="55" t="n">
        <x:f>MAX(0,'Допущения'!$D$26-W47)</x:f>
        <x:v>0</x:v>
      </x:c>
      <x:c r="X52" s="55" t="n">
        <x:f>MAX(0,'Допущения'!$D$26-X47)</x:f>
        <x:v>0</x:v>
      </x:c>
      <x:c r="Y52" s="55" t="n">
        <x:f>MAX(0,'Допущения'!$D$26-Y47)</x:f>
        <x:v>0</x:v>
      </x:c>
      <x:c r="Z52" s="55" t="n">
        <x:f>MAX(0,'Допущения'!$D$26-Z47)</x:f>
        <x:v>0</x:v>
      </x:c>
      <x:c r="AA52" s="55" t="n">
        <x:f>MAX(0,'Допущения'!$D$26-AA47)</x:f>
        <x:v>0</x:v>
      </x:c>
      <x:c r="AB52" s="55" t="n">
        <x:f>MAX(0,'Допущения'!$D$26-AB47)</x:f>
        <x:v>0</x:v>
      </x:c>
      <x:c r="AC52" s="55" t="n">
        <x:f>MAX(0,'Допущения'!$D$26-AC47)</x:f>
        <x:v>0</x:v>
      </x:c>
      <x:c r="AD52" s="55" t="n">
        <x:f>MAX(0,'Допущения'!$D$26-AD47)</x:f>
        <x:v>0</x:v>
      </x:c>
      <x:c r="AE52" s="55" t="n">
        <x:f>MAX(0,'Допущения'!$D$26-AE47)</x:f>
        <x:v>0</x:v>
      </x:c>
      <x:c r="AF52" s="55" t="n">
        <x:f>MAX(0,'Допущения'!$D$26-AF47)</x:f>
        <x:v>0</x:v>
      </x:c>
      <x:c r="AG52" s="55" t="n">
        <x:f>MAX(0,'Допущения'!$D$26-AG47)</x:f>
        <x:v>0</x:v>
      </x:c>
      <x:c r="AH52" s="55" t="n">
        <x:f>MAX(0,'Допущения'!$D$26-AH47)</x:f>
        <x:v>0</x:v>
      </x:c>
      <x:c r="AI52" s="55" t="n">
        <x:f>MAX(0,'Допущения'!$D$26-AI47)</x:f>
        <x:v>0</x:v>
      </x:c>
      <x:c r="AJ52" s="55" t="n">
        <x:f>MAX(0,'Допущения'!$D$26-AJ47)</x:f>
        <x:v>0</x:v>
      </x:c>
      <x:c r="AK52" s="55" t="n">
        <x:f>MAX(0,'Допущения'!$D$26-AK47)</x:f>
        <x:v>0</x:v>
      </x:c>
    </x:row>
    <x:row r="53">
      <x:c r="A53" s="32" t="str">
        <x:v>EBITDA ≥ 0?</x:v>
      </x:c>
      <x:c r="B53" t="n">
        <x:f>IF(B42&gt;=0,1,0)</x:f>
        <x:v>0</x:v>
      </x:c>
      <x:c r="C53" t="n">
        <x:f>IF(C42&gt;=0,1,0)</x:f>
        <x:v>0</x:v>
      </x:c>
      <x:c r="D53" t="n">
        <x:f>IF(D42&gt;=0,1,0)</x:f>
        <x:v>0</x:v>
      </x:c>
      <x:c r="E53" t="n">
        <x:f>IF(E42&gt;=0,1,0)</x:f>
        <x:v>0</x:v>
      </x:c>
      <x:c r="F53" t="n">
        <x:f>IF(F42&gt;=0,1,0)</x:f>
        <x:v>0</x:v>
      </x:c>
      <x:c r="G53" t="n">
        <x:f>IF(G42&gt;=0,1,0)</x:f>
        <x:v>0</x:v>
      </x:c>
      <x:c r="H53" t="n">
        <x:f>IF(H42&gt;=0,1,0)</x:f>
        <x:v>1</x:v>
      </x:c>
      <x:c r="I53" t="n">
        <x:f>IF(I42&gt;=0,1,0)</x:f>
        <x:v>1</x:v>
      </x:c>
      <x:c r="J53" t="n">
        <x:f>IF(J42&gt;=0,1,0)</x:f>
        <x:v>1</x:v>
      </x:c>
      <x:c r="K53" t="n">
        <x:f>IF(K42&gt;=0,1,0)</x:f>
        <x:v>1</x:v>
      </x:c>
      <x:c r="L53" t="n">
        <x:f>IF(L42&gt;=0,1,0)</x:f>
        <x:v>1</x:v>
      </x:c>
      <x:c r="M53" t="n">
        <x:f>IF(M42&gt;=0,1,0)</x:f>
        <x:v>1</x:v>
      </x:c>
      <x:c r="N53" t="n">
        <x:f>IF(N42&gt;=0,1,0)</x:f>
        <x:v>1</x:v>
      </x:c>
      <x:c r="O53" t="n">
        <x:f>IF(O42&gt;=0,1,0)</x:f>
        <x:v>1</x:v>
      </x:c>
      <x:c r="P53" t="n">
        <x:f>IF(P42&gt;=0,1,0)</x:f>
        <x:v>1</x:v>
      </x:c>
      <x:c r="Q53" t="n">
        <x:f>IF(Q42&gt;=0,1,0)</x:f>
        <x:v>1</x:v>
      </x:c>
      <x:c r="R53" t="n">
        <x:f>IF(R42&gt;=0,1,0)</x:f>
        <x:v>1</x:v>
      </x:c>
      <x:c r="S53" t="n">
        <x:f>IF(S42&gt;=0,1,0)</x:f>
        <x:v>1</x:v>
      </x:c>
      <x:c r="T53" t="n">
        <x:f>IF(T42&gt;=0,1,0)</x:f>
        <x:v>1</x:v>
      </x:c>
      <x:c r="U53" t="n">
        <x:f>IF(U42&gt;=0,1,0)</x:f>
        <x:v>1</x:v>
      </x:c>
      <x:c r="V53" t="n">
        <x:f>IF(V42&gt;=0,1,0)</x:f>
        <x:v>1</x:v>
      </x:c>
      <x:c r="W53" t="n">
        <x:f>IF(W42&gt;=0,1,0)</x:f>
        <x:v>1</x:v>
      </x:c>
      <x:c r="X53" t="n">
        <x:f>IF(X42&gt;=0,1,0)</x:f>
        <x:v>1</x:v>
      </x:c>
      <x:c r="Y53" t="n">
        <x:f>IF(Y42&gt;=0,1,0)</x:f>
        <x:v>1</x:v>
      </x:c>
      <x:c r="Z53" t="n">
        <x:f>IF(Z42&gt;=0,1,0)</x:f>
        <x:v>1</x:v>
      </x:c>
      <x:c r="AA53" t="n">
        <x:f>IF(AA42&gt;=0,1,0)</x:f>
        <x:v>1</x:v>
      </x:c>
      <x:c r="AB53" t="n">
        <x:f>IF(AB42&gt;=0,1,0)</x:f>
        <x:v>1</x:v>
      </x:c>
      <x:c r="AC53" t="n">
        <x:f>IF(AC42&gt;=0,1,0)</x:f>
        <x:v>1</x:v>
      </x:c>
      <x:c r="AD53" t="n">
        <x:f>IF(AD42&gt;=0,1,0)</x:f>
        <x:v>1</x:v>
      </x:c>
      <x:c r="AE53" t="n">
        <x:f>IF(AE42&gt;=0,1,0)</x:f>
        <x:v>1</x:v>
      </x:c>
      <x:c r="AF53" t="n">
        <x:f>IF(AF42&gt;=0,1,0)</x:f>
        <x:v>1</x:v>
      </x:c>
      <x:c r="AG53" t="n">
        <x:f>IF(AG42&gt;=0,1,0)</x:f>
        <x:v>1</x:v>
      </x:c>
      <x:c r="AH53" t="n">
        <x:f>IF(AH42&gt;=0,1,0)</x:f>
        <x:v>1</x:v>
      </x:c>
      <x:c r="AI53" t="n">
        <x:f>IF(AI42&gt;=0,1,0)</x:f>
        <x:v>1</x:v>
      </x:c>
      <x:c r="AJ53" t="n">
        <x:f>IF(AJ42&gt;=0,1,0)</x:f>
        <x:v>1</x:v>
      </x:c>
      <x:c r="AK53" t="n">
        <x:f>IF(AK42&gt;=0,1,0)</x:f>
        <x:v>1</x:v>
      </x:c>
    </x:row>
    <x:row r="54">
      <x:c r="A54" s="32" t="str">
        <x:v>Первый месяц EBITDA ≥ 0</x:v>
      </x:c>
      <x:c r="B54" t="n">
        <x:f>IF(B53=1,1,0)</x:f>
        <x:v>0</x:v>
      </x:c>
      <x:c r="C54" t="n">
        <x:f>IF(B54&gt;0,B54,IF(C53=1,2,0))</x:f>
        <x:v>0</x:v>
      </x:c>
      <x:c r="D54" t="n">
        <x:f>IF(C54&gt;0,C54,IF(D53=1,3,0))</x:f>
        <x:v>0</x:v>
      </x:c>
      <x:c r="E54" t="n">
        <x:f>IF(D54&gt;0,D54,IF(E53=1,4,0))</x:f>
        <x:v>0</x:v>
      </x:c>
      <x:c r="F54" t="n">
        <x:f>IF(E54&gt;0,E54,IF(F53=1,5,0))</x:f>
        <x:v>0</x:v>
      </x:c>
      <x:c r="G54" t="n">
        <x:f>IF(F54&gt;0,F54,IF(G53=1,6,0))</x:f>
        <x:v>0</x:v>
      </x:c>
      <x:c r="H54" t="n">
        <x:f>IF(G54&gt;0,G54,IF(H53=1,7,0))</x:f>
        <x:v>7</x:v>
      </x:c>
      <x:c r="I54" t="n">
        <x:f>IF(H54&gt;0,H54,IF(I53=1,8,0))</x:f>
        <x:v>7</x:v>
      </x:c>
      <x:c r="J54" t="n">
        <x:f>IF(I54&gt;0,I54,IF(J53=1,9,0))</x:f>
        <x:v>7</x:v>
      </x:c>
      <x:c r="K54" t="n">
        <x:f>IF(J54&gt;0,J54,IF(K53=1,10,0))</x:f>
        <x:v>7</x:v>
      </x:c>
      <x:c r="L54" t="n">
        <x:f>IF(K54&gt;0,K54,IF(L53=1,11,0))</x:f>
        <x:v>7</x:v>
      </x:c>
      <x:c r="M54" t="n">
        <x:f>IF(L54&gt;0,L54,IF(M53=1,12,0))</x:f>
        <x:v>7</x:v>
      </x:c>
      <x:c r="N54" t="n">
        <x:f>IF(M54&gt;0,M54,IF(N53=1,13,0))</x:f>
        <x:v>7</x:v>
      </x:c>
      <x:c r="O54" t="n">
        <x:f>IF(N54&gt;0,N54,IF(O53=1,14,0))</x:f>
        <x:v>7</x:v>
      </x:c>
      <x:c r="P54" t="n">
        <x:f>IF(O54&gt;0,O54,IF(P53=1,15,0))</x:f>
        <x:v>7</x:v>
      </x:c>
      <x:c r="Q54" t="n">
        <x:f>IF(P54&gt;0,P54,IF(Q53=1,16,0))</x:f>
        <x:v>7</x:v>
      </x:c>
      <x:c r="R54" t="n">
        <x:f>IF(Q54&gt;0,Q54,IF(R53=1,17,0))</x:f>
        <x:v>7</x:v>
      </x:c>
      <x:c r="S54" t="n">
        <x:f>IF(R54&gt;0,R54,IF(S53=1,18,0))</x:f>
        <x:v>7</x:v>
      </x:c>
      <x:c r="T54" t="n">
        <x:f>IF(S54&gt;0,S54,IF(T53=1,19,0))</x:f>
        <x:v>7</x:v>
      </x:c>
      <x:c r="U54" t="n">
        <x:f>IF(T54&gt;0,T54,IF(U53=1,20,0))</x:f>
        <x:v>7</x:v>
      </x:c>
      <x:c r="V54" t="n">
        <x:f>IF(U54&gt;0,U54,IF(V53=1,21,0))</x:f>
        <x:v>7</x:v>
      </x:c>
      <x:c r="W54" t="n">
        <x:f>IF(V54&gt;0,V54,IF(W53=1,22,0))</x:f>
        <x:v>7</x:v>
      </x:c>
      <x:c r="X54" t="n">
        <x:f>IF(W54&gt;0,W54,IF(X53=1,23,0))</x:f>
        <x:v>7</x:v>
      </x:c>
      <x:c r="Y54" t="n">
        <x:f>IF(X54&gt;0,X54,IF(Y53=1,24,0))</x:f>
        <x:v>7</x:v>
      </x:c>
      <x:c r="Z54" t="n">
        <x:f>IF(Y54&gt;0,Y54,IF(Z53=1,25,0))</x:f>
        <x:v>7</x:v>
      </x:c>
      <x:c r="AA54" t="n">
        <x:f>IF(Z54&gt;0,Z54,IF(AA53=1,26,0))</x:f>
        <x:v>7</x:v>
      </x:c>
      <x:c r="AB54" t="n">
        <x:f>IF(AA54&gt;0,AA54,IF(AB53=1,27,0))</x:f>
        <x:v>7</x:v>
      </x:c>
      <x:c r="AC54" t="n">
        <x:f>IF(AB54&gt;0,AB54,IF(AC53=1,28,0))</x:f>
        <x:v>7</x:v>
      </x:c>
      <x:c r="AD54" t="n">
        <x:f>IF(AC54&gt;0,AC54,IF(AD53=1,29,0))</x:f>
        <x:v>7</x:v>
      </x:c>
      <x:c r="AE54" t="n">
        <x:f>IF(AD54&gt;0,AD54,IF(AE53=1,30,0))</x:f>
        <x:v>7</x:v>
      </x:c>
      <x:c r="AF54" t="n">
        <x:f>IF(AE54&gt;0,AE54,IF(AF53=1,31,0))</x:f>
        <x:v>7</x:v>
      </x:c>
      <x:c r="AG54" t="n">
        <x:f>IF(AF54&gt;0,AF54,IF(AG53=1,32,0))</x:f>
        <x:v>7</x:v>
      </x:c>
      <x:c r="AH54" t="n">
        <x:f>IF(AG54&gt;0,AG54,IF(AH53=1,33,0))</x:f>
        <x:v>7</x:v>
      </x:c>
      <x:c r="AI54" t="n">
        <x:f>IF(AH54&gt;0,AH54,IF(AI53=1,34,0))</x:f>
        <x:v>7</x:v>
      </x:c>
      <x:c r="AJ54" t="n">
        <x:f>IF(AI54&gt;0,AI54,IF(AJ53=1,35,0))</x:f>
        <x:v>7</x:v>
      </x:c>
      <x:c r="AK54" t="n">
        <x:f>IF(AJ54&gt;0,AJ54,IF(AK53=1,36,0))</x:f>
        <x:v>7</x:v>
      </x:c>
    </x:row>
    <x:row r="58" ht="26" customHeight="1">
      <x:c r="A58" s="170" t="str">
        <x:v>Мягкий стресс — помесячная модель</x:v>
      </x:c>
      <x:c r="B58" s="170"/>
      <x:c r="C58" s="170"/>
      <x:c r="D58" s="170"/>
      <x:c r="E58" s="170"/>
      <x:c r="F58" s="170"/>
      <x:c r="G58" s="170"/>
      <x:c r="H58" s="170"/>
      <x:c r="I58" s="170"/>
      <x:c r="J58" s="170"/>
      <x:c r="K58" s="170"/>
      <x:c r="L58" s="170"/>
      <x:c r="M58" s="170"/>
      <x:c r="N58" s="170"/>
      <x:c r="O58" s="170"/>
      <x:c r="P58" s="170"/>
      <x:c r="Q58" s="170"/>
      <x:c r="R58" s="170"/>
      <x:c r="S58" s="170"/>
      <x:c r="T58" s="170"/>
      <x:c r="U58" s="170"/>
      <x:c r="V58" s="170"/>
      <x:c r="W58" s="170"/>
      <x:c r="X58" s="170"/>
      <x:c r="Y58" s="170"/>
      <x:c r="Z58" s="170"/>
      <x:c r="AA58" s="170"/>
      <x:c r="AB58" s="170"/>
      <x:c r="AC58" s="170"/>
      <x:c r="AD58" s="170"/>
      <x:c r="AE58" s="170"/>
      <x:c r="AF58" s="170"/>
      <x:c r="AG58" s="170"/>
      <x:c r="AH58" s="170"/>
      <x:c r="AI58" s="170"/>
      <x:c r="AJ58" s="170"/>
      <x:c r="AK58" s="170"/>
    </x:row>
    <x:row r="59" ht="26" customHeight="1">
      <x:c r="A59" s="170" t="str">
        <x:v>Показатель</x:v>
      </x:c>
      <x:c r="B59" s="170" t="str">
        <x:v>М1</x:v>
      </x:c>
      <x:c r="C59" s="170" t="str">
        <x:v>М2</x:v>
      </x:c>
      <x:c r="D59" s="170" t="str">
        <x:v>М3</x:v>
      </x:c>
      <x:c r="E59" s="170" t="str">
        <x:v>М4</x:v>
      </x:c>
      <x:c r="F59" s="170" t="str">
        <x:v>М5</x:v>
      </x:c>
      <x:c r="G59" s="170" t="str">
        <x:v>М6</x:v>
      </x:c>
      <x:c r="H59" s="170" t="str">
        <x:v>М7</x:v>
      </x:c>
      <x:c r="I59" s="170" t="str">
        <x:v>М8</x:v>
      </x:c>
      <x:c r="J59" s="170" t="str">
        <x:v>М9</x:v>
      </x:c>
      <x:c r="K59" s="170" t="str">
        <x:v>М10</x:v>
      </x:c>
      <x:c r="L59" s="170" t="str">
        <x:v>М11</x:v>
      </x:c>
      <x:c r="M59" s="170" t="str">
        <x:v>М12</x:v>
      </x:c>
      <x:c r="N59" s="170" t="str">
        <x:v>М13</x:v>
      </x:c>
      <x:c r="O59" s="170" t="str">
        <x:v>М14</x:v>
      </x:c>
      <x:c r="P59" s="170" t="str">
        <x:v>М15</x:v>
      </x:c>
      <x:c r="Q59" s="170" t="str">
        <x:v>М16</x:v>
      </x:c>
      <x:c r="R59" s="170" t="str">
        <x:v>М17</x:v>
      </x:c>
      <x:c r="S59" s="170" t="str">
        <x:v>М18</x:v>
      </x:c>
      <x:c r="T59" s="170" t="str">
        <x:v>М19</x:v>
      </x:c>
      <x:c r="U59" s="170" t="str">
        <x:v>М20</x:v>
      </x:c>
      <x:c r="V59" s="170" t="str">
        <x:v>М21</x:v>
      </x:c>
      <x:c r="W59" s="170" t="str">
        <x:v>М22</x:v>
      </x:c>
      <x:c r="X59" s="170" t="str">
        <x:v>М23</x:v>
      </x:c>
      <x:c r="Y59" s="170" t="str">
        <x:v>М24</x:v>
      </x:c>
      <x:c r="Z59" s="170" t="str">
        <x:v>М25</x:v>
      </x:c>
      <x:c r="AA59" s="170" t="str">
        <x:v>М26</x:v>
      </x:c>
      <x:c r="AB59" s="170" t="str">
        <x:v>М27</x:v>
      </x:c>
      <x:c r="AC59" s="170" t="str">
        <x:v>М28</x:v>
      </x:c>
      <x:c r="AD59" s="170" t="str">
        <x:v>М29</x:v>
      </x:c>
      <x:c r="AE59" s="170" t="str">
        <x:v>М30</x:v>
      </x:c>
      <x:c r="AF59" s="170" t="str">
        <x:v>М31</x:v>
      </x:c>
      <x:c r="AG59" s="170" t="str">
        <x:v>М32</x:v>
      </x:c>
      <x:c r="AH59" s="170" t="str">
        <x:v>М33</x:v>
      </x:c>
      <x:c r="AI59" s="170" t="str">
        <x:v>М34</x:v>
      </x:c>
      <x:c r="AJ59" s="170" t="str">
        <x:v>М35</x:v>
      </x:c>
      <x:c r="AK59" s="170" t="str">
        <x:v>М36</x:v>
      </x:c>
    </x:row>
    <x:row r="60">
      <x:c r="A60" s="32" t="str">
        <x:v>Аудиты</x:v>
      </x:c>
      <x:c r="B60" s="98" t="n">
        <x:f>'План аудитов'!B5*$C$5</x:f>
        <x:v>1.8</x:v>
      </x:c>
      <x:c r="C60" s="98" t="n">
        <x:f>'План аудитов'!C5*$C$5</x:f>
        <x:v>2.7</x:v>
      </x:c>
      <x:c r="D60" s="98" t="n">
        <x:f>'План аудитов'!D5*$C$5</x:f>
        <x:v>2.7</x:v>
      </x:c>
      <x:c r="E60" s="98" t="n">
        <x:f>'План аудитов'!E5*$C$5</x:f>
        <x:v>3.6</x:v>
      </x:c>
      <x:c r="F60" s="98" t="n">
        <x:f>'План аудитов'!F5*$C$5</x:f>
        <x:v>3.6</x:v>
      </x:c>
      <x:c r="G60" s="98" t="n">
        <x:f>'План аудитов'!G5*$C$5</x:f>
        <x:v>3.6</x:v>
      </x:c>
      <x:c r="H60" s="98" t="n">
        <x:f>'План аудитов'!H5*$C$5</x:f>
        <x:v>4.5</x:v>
      </x:c>
      <x:c r="I60" s="98" t="n">
        <x:f>'План аудитов'!I5*$C$5</x:f>
        <x:v>4.5</x:v>
      </x:c>
      <x:c r="J60" s="98" t="n">
        <x:f>'План аудитов'!J5*$C$5</x:f>
        <x:v>4.5</x:v>
      </x:c>
      <x:c r="K60" s="98" t="n">
        <x:f>'План аудитов'!K5*$C$5</x:f>
        <x:v>4.5</x:v>
      </x:c>
      <x:c r="L60" s="98" t="n">
        <x:f>'План аудитов'!L5*$C$5</x:f>
        <x:v>4.5</x:v>
      </x:c>
      <x:c r="M60" s="98" t="n">
        <x:f>'План аудитов'!M5*$C$5</x:f>
        <x:v>4.5</x:v>
      </x:c>
      <x:c r="N60" s="98" t="n">
        <x:f>'План аудитов'!N5*$C$5</x:f>
        <x:v>5.4</x:v>
      </x:c>
      <x:c r="O60" s="98" t="n">
        <x:f>'План аудитов'!O5*$C$5</x:f>
        <x:v>5.4</x:v>
      </x:c>
      <x:c r="P60" s="98" t="n">
        <x:f>'План аудитов'!P5*$C$5</x:f>
        <x:v>5.4</x:v>
      </x:c>
      <x:c r="Q60" s="98" t="n">
        <x:f>'План аудитов'!Q5*$C$5</x:f>
        <x:v>5.4</x:v>
      </x:c>
      <x:c r="R60" s="98" t="n">
        <x:f>'План аудитов'!R5*$C$5</x:f>
        <x:v>5.4</x:v>
      </x:c>
      <x:c r="S60" s="98" t="n">
        <x:f>'План аудитов'!S5*$C$5</x:f>
        <x:v>5.4</x:v>
      </x:c>
      <x:c r="T60" s="98" t="n">
        <x:f>'План аудитов'!T5*$C$5</x:f>
        <x:v>5.4</x:v>
      </x:c>
      <x:c r="U60" s="98" t="n">
        <x:f>'План аудитов'!U5*$C$5</x:f>
        <x:v>5.4</x:v>
      </x:c>
      <x:c r="V60" s="98" t="n">
        <x:f>'План аудитов'!V5*$C$5</x:f>
        <x:v>5.4</x:v>
      </x:c>
      <x:c r="W60" s="98" t="n">
        <x:f>'План аудитов'!W5*$C$5</x:f>
        <x:v>5.4</x:v>
      </x:c>
      <x:c r="X60" s="98" t="n">
        <x:f>'План аудитов'!X5*$C$5</x:f>
        <x:v>5.4</x:v>
      </x:c>
      <x:c r="Y60" s="98" t="n">
        <x:f>'План аудитов'!Y5*$C$5</x:f>
        <x:v>5.4</x:v>
      </x:c>
      <x:c r="Z60" s="98" t="n">
        <x:f>'План аудитов'!Z5*$C$5</x:f>
        <x:v>9</x:v>
      </x:c>
      <x:c r="AA60" s="98" t="n">
        <x:f>'План аудитов'!AA5*$C$5</x:f>
        <x:v>9</x:v>
      </x:c>
      <x:c r="AB60" s="98" t="n">
        <x:f>'План аудитов'!AB5*$C$5</x:f>
        <x:v>9</x:v>
      </x:c>
      <x:c r="AC60" s="98" t="n">
        <x:f>'План аудитов'!AC5*$C$5</x:f>
        <x:v>9</x:v>
      </x:c>
      <x:c r="AD60" s="98" t="n">
        <x:f>'План аудитов'!AD5*$C$5</x:f>
        <x:v>9</x:v>
      </x:c>
      <x:c r="AE60" s="98" t="n">
        <x:f>'План аудитов'!AE5*$C$5</x:f>
        <x:v>9</x:v>
      </x:c>
      <x:c r="AF60" s="98" t="n">
        <x:f>'План аудитов'!AF5*$C$5</x:f>
        <x:v>9</x:v>
      </x:c>
      <x:c r="AG60" s="98" t="n">
        <x:f>'План аудитов'!AG5*$C$5</x:f>
        <x:v>9</x:v>
      </x:c>
      <x:c r="AH60" s="98" t="n">
        <x:f>'План аудитов'!AH5*$C$5</x:f>
        <x:v>9</x:v>
      </x:c>
      <x:c r="AI60" s="98" t="n">
        <x:f>'План аудитов'!AI5*$C$5</x:f>
        <x:v>9</x:v>
      </x:c>
      <x:c r="AJ60" s="98" t="n">
        <x:f>'План аудитов'!AJ5*$C$5</x:f>
        <x:v>9</x:v>
      </x:c>
      <x:c r="AK60" s="98" t="n">
        <x:f>'План аудитов'!AK5*$C$5</x:f>
        <x:v>9</x:v>
      </x:c>
    </x:row>
    <x:row r="61">
      <x:c r="A61" s="32" t="str">
        <x:v>Оптимизации</x:v>
      </x:c>
      <x:c r="B61" s="98" t="n">
        <x:f>B60*'Допущения'!$D$5*$C$6</x:f>
        <x:v>0.8415</x:v>
      </x:c>
      <x:c r="C61" s="98" t="n">
        <x:f>C60*'Допущения'!$D$5*$C$6</x:f>
        <x:v>1.2622500000000003</x:v>
      </x:c>
      <x:c r="D61" s="98" t="n">
        <x:f>D60*'Допущения'!$D$5*$C$6</x:f>
        <x:v>1.2622500000000003</x:v>
      </x:c>
      <x:c r="E61" s="98" t="n">
        <x:f>E60*'Допущения'!$D$5*$C$6</x:f>
        <x:v>1.683</x:v>
      </x:c>
      <x:c r="F61" s="98" t="n">
        <x:f>F60*'Допущения'!$D$5*$C$6</x:f>
        <x:v>1.683</x:v>
      </x:c>
      <x:c r="G61" s="98" t="n">
        <x:f>G60*'Допущения'!$D$5*$C$6</x:f>
        <x:v>1.683</x:v>
      </x:c>
      <x:c r="H61" s="98" t="n">
        <x:f>H60*'Допущения'!$D$5*$C$6</x:f>
        <x:v>2.1037500000000002</x:v>
      </x:c>
      <x:c r="I61" s="98" t="n">
        <x:f>I60*'Допущения'!$D$5*$C$6</x:f>
        <x:v>2.1037500000000002</x:v>
      </x:c>
      <x:c r="J61" s="98" t="n">
        <x:f>J60*'Допущения'!$D$5*$C$6</x:f>
        <x:v>2.1037500000000002</x:v>
      </x:c>
      <x:c r="K61" s="98" t="n">
        <x:f>K60*'Допущения'!$D$5*$C$6</x:f>
        <x:v>2.1037500000000002</x:v>
      </x:c>
      <x:c r="L61" s="98" t="n">
        <x:f>L60*'Допущения'!$D$5*$C$6</x:f>
        <x:v>2.1037500000000002</x:v>
      </x:c>
      <x:c r="M61" s="98" t="n">
        <x:f>M60*'Допущения'!$D$5*$C$6</x:f>
        <x:v>2.1037500000000002</x:v>
      </x:c>
      <x:c r="N61" s="98" t="n">
        <x:f>N60*'Допущения'!$D$5*$C$6</x:f>
        <x:v>2.5245000000000006</x:v>
      </x:c>
      <x:c r="O61" s="98" t="n">
        <x:f>O60*'Допущения'!$D$5*$C$6</x:f>
        <x:v>2.5245000000000006</x:v>
      </x:c>
      <x:c r="P61" s="98" t="n">
        <x:f>P60*'Допущения'!$D$5*$C$6</x:f>
        <x:v>2.5245000000000006</x:v>
      </x:c>
      <x:c r="Q61" s="98" t="n">
        <x:f>Q60*'Допущения'!$D$5*$C$6</x:f>
        <x:v>2.5245000000000006</x:v>
      </x:c>
      <x:c r="R61" s="98" t="n">
        <x:f>R60*'Допущения'!$D$5*$C$6</x:f>
        <x:v>2.5245000000000006</x:v>
      </x:c>
      <x:c r="S61" s="98" t="n">
        <x:f>S60*'Допущения'!$D$5*$C$6</x:f>
        <x:v>2.5245000000000006</x:v>
      </x:c>
      <x:c r="T61" s="98" t="n">
        <x:f>T60*'Допущения'!$D$5*$C$6</x:f>
        <x:v>2.5245000000000006</x:v>
      </x:c>
      <x:c r="U61" s="98" t="n">
        <x:f>U60*'Допущения'!$D$5*$C$6</x:f>
        <x:v>2.5245000000000006</x:v>
      </x:c>
      <x:c r="V61" s="98" t="n">
        <x:f>V60*'Допущения'!$D$5*$C$6</x:f>
        <x:v>2.5245000000000006</x:v>
      </x:c>
      <x:c r="W61" s="98" t="n">
        <x:f>W60*'Допущения'!$D$5*$C$6</x:f>
        <x:v>2.5245000000000006</x:v>
      </x:c>
      <x:c r="X61" s="98" t="n">
        <x:f>X60*'Допущения'!$D$5*$C$6</x:f>
        <x:v>2.5245000000000006</x:v>
      </x:c>
      <x:c r="Y61" s="98" t="n">
        <x:f>Y60*'Допущения'!$D$5*$C$6</x:f>
        <x:v>2.5245000000000006</x:v>
      </x:c>
      <x:c r="Z61" s="98" t="n">
        <x:f>Z60*'Допущения'!$D$5*$C$6</x:f>
        <x:v>4.2075000000000005</x:v>
      </x:c>
      <x:c r="AA61" s="98" t="n">
        <x:f>AA60*'Допущения'!$D$5*$C$6</x:f>
        <x:v>4.2075000000000005</x:v>
      </x:c>
      <x:c r="AB61" s="98" t="n">
        <x:f>AB60*'Допущения'!$D$5*$C$6</x:f>
        <x:v>4.2075000000000005</x:v>
      </x:c>
      <x:c r="AC61" s="98" t="n">
        <x:f>AC60*'Допущения'!$D$5*$C$6</x:f>
        <x:v>4.2075000000000005</x:v>
      </x:c>
      <x:c r="AD61" s="98" t="n">
        <x:f>AD60*'Допущения'!$D$5*$C$6</x:f>
        <x:v>4.2075000000000005</x:v>
      </x:c>
      <x:c r="AE61" s="98" t="n">
        <x:f>AE60*'Допущения'!$D$5*$C$6</x:f>
        <x:v>4.2075000000000005</x:v>
      </x:c>
      <x:c r="AF61" s="98" t="n">
        <x:f>AF60*'Допущения'!$D$5*$C$6</x:f>
        <x:v>4.2075000000000005</x:v>
      </x:c>
      <x:c r="AG61" s="98" t="n">
        <x:f>AG60*'Допущения'!$D$5*$C$6</x:f>
        <x:v>4.2075000000000005</x:v>
      </x:c>
      <x:c r="AH61" s="98" t="n">
        <x:f>AH60*'Допущения'!$D$5*$C$6</x:f>
        <x:v>4.2075000000000005</x:v>
      </x:c>
      <x:c r="AI61" s="98" t="n">
        <x:f>AI60*'Допущения'!$D$5*$C$6</x:f>
        <x:v>4.2075000000000005</x:v>
      </x:c>
      <x:c r="AJ61" s="98" t="n">
        <x:f>AJ60*'Допущения'!$D$5*$C$6</x:f>
        <x:v>4.2075000000000005</x:v>
      </x:c>
      <x:c r="AK61" s="98" t="n">
        <x:f>AK60*'Допущения'!$D$5*$C$6</x:f>
        <x:v>4.2075000000000005</x:v>
      </x:c>
    </x:row>
    <x:row r="62">
      <x:c r="A62" s="32" t="str">
        <x:v>Новые клиенты Ядра QORSYS</x:v>
      </x:c>
      <x:c r="B62" s="98" t="n">
        <x:f>IF(('Допущения'!$D$17+$C$13)=1,0*'Допущения'!$D$5*$C$6*'Допущения'!$D$6*$C$7,IF(('Допущения'!$D$17+$C$13)=2,0*'Допущения'!$D$5*$C$6*'Допущения'!$D$6*$C$7,0))</x:f>
        <x:v>0</x:v>
      </x:c>
      <x:c r="C62" s="98" t="n">
        <x:f>IF(('Допущения'!$D$17+$C$13)=1,B60*'Допущения'!$D$5*$C$6*'Допущения'!$D$6*$C$7,IF(('Допущения'!$D$17+$C$13)=2,0*'Допущения'!$D$5*$C$6*'Допущения'!$D$6*$C$7,0))</x:f>
        <x:v>0.6058800000000001</x:v>
      </x:c>
      <x:c r="D62" s="98" t="n">
        <x:f>IF(('Допущения'!$D$17+$C$13)=1,C60*'Допущения'!$D$5*$C$6*'Допущения'!$D$6*$C$7,IF(('Допущения'!$D$17+$C$13)=2,B60*'Допущения'!$D$5*$C$6*'Допущения'!$D$6*$C$7,0))</x:f>
        <x:v>0.9088200000000003</x:v>
      </x:c>
      <x:c r="E62" s="98" t="n">
        <x:f>IF(('Допущения'!$D$17+$C$13)=1,D60*'Допущения'!$D$5*$C$6*'Допущения'!$D$6*$C$7,IF(('Допущения'!$D$17+$C$13)=2,C60*'Допущения'!$D$5*$C$6*'Допущения'!$D$6*$C$7,0))</x:f>
        <x:v>0.9088200000000003</x:v>
      </x:c>
      <x:c r="F62" s="98" t="n">
        <x:f>IF(('Допущения'!$D$17+$C$13)=1,E60*'Допущения'!$D$5*$C$6*'Допущения'!$D$6*$C$7,IF(('Допущения'!$D$17+$C$13)=2,D60*'Допущения'!$D$5*$C$6*'Допущения'!$D$6*$C$7,0))</x:f>
        <x:v>1.2117600000000002</x:v>
      </x:c>
      <x:c r="G62" s="98" t="n">
        <x:f>IF(('Допущения'!$D$17+$C$13)=1,F60*'Допущения'!$D$5*$C$6*'Допущения'!$D$6*$C$7,IF(('Допущения'!$D$17+$C$13)=2,E60*'Допущения'!$D$5*$C$6*'Допущения'!$D$6*$C$7,0))</x:f>
        <x:v>1.2117600000000002</x:v>
      </x:c>
      <x:c r="H62" s="98" t="n">
        <x:f>IF(('Допущения'!$D$17+$C$13)=1,G60*'Допущения'!$D$5*$C$6*'Допущения'!$D$6*$C$7,IF(('Допущения'!$D$17+$C$13)=2,F60*'Допущения'!$D$5*$C$6*'Допущения'!$D$6*$C$7,0))</x:f>
        <x:v>1.2117600000000002</x:v>
      </x:c>
      <x:c r="I62" s="98" t="n">
        <x:f>IF(('Допущения'!$D$17+$C$13)=1,H60*'Допущения'!$D$5*$C$6*'Допущения'!$D$6*$C$7,IF(('Допущения'!$D$17+$C$13)=2,G60*'Допущения'!$D$5*$C$6*'Допущения'!$D$6*$C$7,0))</x:f>
        <x:v>1.5147000000000004</x:v>
      </x:c>
      <x:c r="J62" s="98" t="n">
        <x:f>IF(('Допущения'!$D$17+$C$13)=1,I60*'Допущения'!$D$5*$C$6*'Допущения'!$D$6*$C$7,IF(('Допущения'!$D$17+$C$13)=2,H60*'Допущения'!$D$5*$C$6*'Допущения'!$D$6*$C$7,0))</x:f>
        <x:v>1.5147000000000004</x:v>
      </x:c>
      <x:c r="K62" s="98" t="n">
        <x:f>IF(('Допущения'!$D$17+$C$13)=1,J60*'Допущения'!$D$5*$C$6*'Допущения'!$D$6*$C$7,IF(('Допущения'!$D$17+$C$13)=2,I60*'Допущения'!$D$5*$C$6*'Допущения'!$D$6*$C$7,0))</x:f>
        <x:v>1.5147000000000004</x:v>
      </x:c>
      <x:c r="L62" s="98" t="n">
        <x:f>IF(('Допущения'!$D$17+$C$13)=1,K60*'Допущения'!$D$5*$C$6*'Допущения'!$D$6*$C$7,IF(('Допущения'!$D$17+$C$13)=2,J60*'Допущения'!$D$5*$C$6*'Допущения'!$D$6*$C$7,0))</x:f>
        <x:v>1.5147000000000004</x:v>
      </x:c>
      <x:c r="M62" s="98" t="n">
        <x:f>IF(('Допущения'!$D$17+$C$13)=1,L60*'Допущения'!$D$5*$C$6*'Допущения'!$D$6*$C$7,IF(('Допущения'!$D$17+$C$13)=2,K60*'Допущения'!$D$5*$C$6*'Допущения'!$D$6*$C$7,0))</x:f>
        <x:v>1.5147000000000004</x:v>
      </x:c>
      <x:c r="N62" s="98" t="n">
        <x:f>IF(('Допущения'!$D$17+$C$13)=1,M60*'Допущения'!$D$5*$C$6*'Допущения'!$D$6*$C$7,IF(('Допущения'!$D$17+$C$13)=2,L60*'Допущения'!$D$5*$C$6*'Допущения'!$D$6*$C$7,0))</x:f>
        <x:v>1.5147000000000004</x:v>
      </x:c>
      <x:c r="O62" s="98" t="n">
        <x:f>IF(('Допущения'!$D$17+$C$13)=1,N60*'Допущения'!$D$5*$C$6*'Допущения'!$D$6*$C$7,IF(('Допущения'!$D$17+$C$13)=2,M60*'Допущения'!$D$5*$C$6*'Допущения'!$D$6*$C$7,0))</x:f>
        <x:v>1.8176400000000006</x:v>
      </x:c>
      <x:c r="P62" s="98" t="n">
        <x:f>IF(('Допущения'!$D$17+$C$13)=1,O60*'Допущения'!$D$5*$C$6*'Допущения'!$D$6*$C$7,IF(('Допущения'!$D$17+$C$13)=2,N60*'Допущения'!$D$5*$C$6*'Допущения'!$D$6*$C$7,0))</x:f>
        <x:v>1.8176400000000006</x:v>
      </x:c>
      <x:c r="Q62" s="98" t="n">
        <x:f>IF(('Допущения'!$D$17+$C$13)=1,P60*'Допущения'!$D$5*$C$6*'Допущения'!$D$6*$C$7,IF(('Допущения'!$D$17+$C$13)=2,O60*'Допущения'!$D$5*$C$6*'Допущения'!$D$6*$C$7,0))</x:f>
        <x:v>1.8176400000000006</x:v>
      </x:c>
      <x:c r="R62" s="98" t="n">
        <x:f>IF(('Допущения'!$D$17+$C$13)=1,Q60*'Допущения'!$D$5*$C$6*'Допущения'!$D$6*$C$7,IF(('Допущения'!$D$17+$C$13)=2,P60*'Допущения'!$D$5*$C$6*'Допущения'!$D$6*$C$7,0))</x:f>
        <x:v>1.8176400000000006</x:v>
      </x:c>
      <x:c r="S62" s="98" t="n">
        <x:f>IF(('Допущения'!$D$17+$C$13)=1,R60*'Допущения'!$D$5*$C$6*'Допущения'!$D$6*$C$7,IF(('Допущения'!$D$17+$C$13)=2,Q60*'Допущения'!$D$5*$C$6*'Допущения'!$D$6*$C$7,0))</x:f>
        <x:v>1.8176400000000006</x:v>
      </x:c>
      <x:c r="T62" s="98" t="n">
        <x:f>IF(('Допущения'!$D$17+$C$13)=1,S60*'Допущения'!$D$5*$C$6*'Допущения'!$D$6*$C$7,IF(('Допущения'!$D$17+$C$13)=2,R60*'Допущения'!$D$5*$C$6*'Допущения'!$D$6*$C$7,0))</x:f>
        <x:v>1.8176400000000006</x:v>
      </x:c>
      <x:c r="U62" s="98" t="n">
        <x:f>IF(('Допущения'!$D$17+$C$13)=1,T60*'Допущения'!$D$5*$C$6*'Допущения'!$D$6*$C$7,IF(('Допущения'!$D$17+$C$13)=2,S60*'Допущения'!$D$5*$C$6*'Допущения'!$D$6*$C$7,0))</x:f>
        <x:v>1.8176400000000006</x:v>
      </x:c>
      <x:c r="V62" s="98" t="n">
        <x:f>IF(('Допущения'!$D$17+$C$13)=1,U60*'Допущения'!$D$5*$C$6*'Допущения'!$D$6*$C$7,IF(('Допущения'!$D$17+$C$13)=2,T60*'Допущения'!$D$5*$C$6*'Допущения'!$D$6*$C$7,0))</x:f>
        <x:v>1.8176400000000006</x:v>
      </x:c>
      <x:c r="W62" s="98" t="n">
        <x:f>IF(('Допущения'!$D$17+$C$13)=1,V60*'Допущения'!$D$5*$C$6*'Допущения'!$D$6*$C$7,IF(('Допущения'!$D$17+$C$13)=2,U60*'Допущения'!$D$5*$C$6*'Допущения'!$D$6*$C$7,0))</x:f>
        <x:v>1.8176400000000006</x:v>
      </x:c>
      <x:c r="X62" s="98" t="n">
        <x:f>IF(('Допущения'!$D$17+$C$13)=1,W60*'Допущения'!$D$5*$C$6*'Допущения'!$D$6*$C$7,IF(('Допущения'!$D$17+$C$13)=2,V60*'Допущения'!$D$5*$C$6*'Допущения'!$D$6*$C$7,0))</x:f>
        <x:v>1.8176400000000006</x:v>
      </x:c>
      <x:c r="Y62" s="98" t="n">
        <x:f>IF(('Допущения'!$D$17+$C$13)=1,X60*'Допущения'!$D$5*$C$6*'Допущения'!$D$6*$C$7,IF(('Допущения'!$D$17+$C$13)=2,W60*'Допущения'!$D$5*$C$6*'Допущения'!$D$6*$C$7,0))</x:f>
        <x:v>1.8176400000000006</x:v>
      </x:c>
      <x:c r="Z62" s="98" t="n">
        <x:f>IF(('Допущения'!$D$17+$C$13)=1,Y60*'Допущения'!$D$5*$C$6*'Допущения'!$D$6*$C$7,IF(('Допущения'!$D$17+$C$13)=2,X60*'Допущения'!$D$5*$C$6*'Допущения'!$D$6*$C$7,0))</x:f>
        <x:v>1.8176400000000006</x:v>
      </x:c>
      <x:c r="AA62" s="98" t="n">
        <x:f>IF(('Допущения'!$D$17+$C$13)=1,Z60*'Допущения'!$D$5*$C$6*'Допущения'!$D$6*$C$7,IF(('Допущения'!$D$17+$C$13)=2,Y60*'Допущения'!$D$5*$C$6*'Допущения'!$D$6*$C$7,0))</x:f>
        <x:v>3.0294000000000008</x:v>
      </x:c>
      <x:c r="AB62" s="98" t="n">
        <x:f>IF(('Допущения'!$D$17+$C$13)=1,AA60*'Допущения'!$D$5*$C$6*'Допущения'!$D$6*$C$7,IF(('Допущения'!$D$17+$C$13)=2,Z60*'Допущения'!$D$5*$C$6*'Допущения'!$D$6*$C$7,0))</x:f>
        <x:v>3.0294000000000008</x:v>
      </x:c>
      <x:c r="AC62" s="98" t="n">
        <x:f>IF(('Допущения'!$D$17+$C$13)=1,AB60*'Допущения'!$D$5*$C$6*'Допущения'!$D$6*$C$7,IF(('Допущения'!$D$17+$C$13)=2,AA60*'Допущения'!$D$5*$C$6*'Допущения'!$D$6*$C$7,0))</x:f>
        <x:v>3.0294000000000008</x:v>
      </x:c>
      <x:c r="AD62" s="98" t="n">
        <x:f>IF(('Допущения'!$D$17+$C$13)=1,AC60*'Допущения'!$D$5*$C$6*'Допущения'!$D$6*$C$7,IF(('Допущения'!$D$17+$C$13)=2,AB60*'Допущения'!$D$5*$C$6*'Допущения'!$D$6*$C$7,0))</x:f>
        <x:v>3.0294000000000008</x:v>
      </x:c>
      <x:c r="AE62" s="98" t="n">
        <x:f>IF(('Допущения'!$D$17+$C$13)=1,AD60*'Допущения'!$D$5*$C$6*'Допущения'!$D$6*$C$7,IF(('Допущения'!$D$17+$C$13)=2,AC60*'Допущения'!$D$5*$C$6*'Допущения'!$D$6*$C$7,0))</x:f>
        <x:v>3.0294000000000008</x:v>
      </x:c>
      <x:c r="AF62" s="98" t="n">
        <x:f>IF(('Допущения'!$D$17+$C$13)=1,AE60*'Допущения'!$D$5*$C$6*'Допущения'!$D$6*$C$7,IF(('Допущения'!$D$17+$C$13)=2,AD60*'Допущения'!$D$5*$C$6*'Допущения'!$D$6*$C$7,0))</x:f>
        <x:v>3.0294000000000008</x:v>
      </x:c>
      <x:c r="AG62" s="98" t="n">
        <x:f>IF(('Допущения'!$D$17+$C$13)=1,AF60*'Допущения'!$D$5*$C$6*'Допущения'!$D$6*$C$7,IF(('Допущения'!$D$17+$C$13)=2,AE60*'Допущения'!$D$5*$C$6*'Допущения'!$D$6*$C$7,0))</x:f>
        <x:v>3.0294000000000008</x:v>
      </x:c>
      <x:c r="AH62" s="98" t="n">
        <x:f>IF(('Допущения'!$D$17+$C$13)=1,AG60*'Допущения'!$D$5*$C$6*'Допущения'!$D$6*$C$7,IF(('Допущения'!$D$17+$C$13)=2,AF60*'Допущения'!$D$5*$C$6*'Допущения'!$D$6*$C$7,0))</x:f>
        <x:v>3.0294000000000008</x:v>
      </x:c>
      <x:c r="AI62" s="98" t="n">
        <x:f>IF(('Допущения'!$D$17+$C$13)=1,AH60*'Допущения'!$D$5*$C$6*'Допущения'!$D$6*$C$7,IF(('Допущения'!$D$17+$C$13)=2,AG60*'Допущения'!$D$5*$C$6*'Допущения'!$D$6*$C$7,0))</x:f>
        <x:v>3.0294000000000008</x:v>
      </x:c>
      <x:c r="AJ62" s="98" t="n">
        <x:f>IF(('Допущения'!$D$17+$C$13)=1,AI60*'Допущения'!$D$5*$C$6*'Допущения'!$D$6*$C$7,IF(('Допущения'!$D$17+$C$13)=2,AH60*'Допущения'!$D$5*$C$6*'Допущения'!$D$6*$C$7,0))</x:f>
        <x:v>3.0294000000000008</x:v>
      </x:c>
      <x:c r="AK62" s="98" t="n">
        <x:f>IF(('Допущения'!$D$17+$C$13)=1,AJ60*'Допущения'!$D$5*$C$6*'Допущения'!$D$6*$C$7,IF(('Допущения'!$D$17+$C$13)=2,AI60*'Допущения'!$D$5*$C$6*'Допущения'!$D$6*$C$7,0))</x:f>
        <x:v>3.0294000000000008</x:v>
      </x:c>
    </x:row>
    <x:row r="63">
      <x:c r="A63" s="32" t="str">
        <x:v>Отток клиентов</x:v>
      </x:c>
      <x:c r="B63" s="98" t="n">
        <x:f>0</x:f>
        <x:v>0</x:v>
      </x:c>
      <x:c r="C63" s="98" t="n">
        <x:f>B64*('Допущения'!$D$7+$C$11)</x:f>
        <x:v>0</x:v>
      </x:c>
      <x:c r="D63" s="98" t="n">
        <x:f>C64*('Допущения'!$D$7+$C$11)</x:f>
        <x:v>0.009088200000000001</x:v>
      </x:c>
      <x:c r="E63" s="98" t="n">
        <x:f>D64*('Допущения'!$D$7+$C$11)</x:f>
        <x:v>0.022584177000000004</x:v>
      </x:c>
      <x:c r="F63" s="98" t="n">
        <x:f>E64*('Допущения'!$D$7+$C$11)</x:f>
        <x:v>0.035877714345000006</x:v>
      </x:c>
      <x:c r="G63" s="98" t="n">
        <x:f>F64*('Допущения'!$D$7+$C$11)</x:f>
        <x:v>0.053515948629825</x:v>
      </x:c>
      <x:c r="H63" s="98" t="n">
        <x:f>G64*('Допущения'!$D$7+$C$11)</x:f>
        <x:v>0.07088960940037761</x:v>
      </x:c>
      <x:c r="I63" s="98" t="n">
        <x:f>H64*('Допущения'!$D$7+$C$11)</x:f>
        <x:v>0.08800266525937195</x:v>
      </x:c>
      <x:c r="J63" s="98" t="n">
        <x:f>I64*('Допущения'!$D$7+$C$11)</x:f>
        <x:v>0.10940312528048139</x:v>
      </x:c>
      <x:c r="K63" s="98" t="n">
        <x:f>J64*('Допущения'!$D$7+$C$11)</x:f>
        <x:v>0.1304825784012742</x:v>
      </x:c>
      <x:c r="L63" s="98" t="n">
        <x:f>K64*('Допущения'!$D$7+$C$11)</x:f>
        <x:v>0.15124583972525507</x:v>
      </x:c>
      <x:c r="M63" s="98" t="n">
        <x:f>L64*('Допущения'!$D$7+$C$11)</x:f>
        <x:v>0.17169765212937624</x:v>
      </x:c>
      <x:c r="N63" s="98" t="n">
        <x:f>M64*('Допущения'!$D$7+$C$11)</x:f>
        <x:v>0.19184268734743562</x:v>
      </x:c>
      <x:c r="O63" s="98" t="n">
        <x:f>N64*('Допущения'!$D$7+$C$11)</x:f>
        <x:v>0.2116855470372241</x:v>
      </x:c>
      <x:c r="P63" s="98" t="n">
        <x:f>O64*('Допущения'!$D$7+$C$11)</x:f>
        <x:v>0.23577486383166574</x:v>
      </x:c>
      <x:c r="Q63" s="98" t="n">
        <x:f>P64*('Допущения'!$D$7+$C$11)</x:f>
        <x:v>0.2595028408741908</x:v>
      </x:c>
      <x:c r="R63" s="98" t="n">
        <x:f>Q64*('Допущения'!$D$7+$C$11)</x:f>
        <x:v>0.2828748982610779</x:v>
      </x:c>
      <x:c r="S63" s="98" t="n">
        <x:f>R64*('Допущения'!$D$7+$C$11)</x:f>
        <x:v>0.30589637478716175</x:v>
      </x:c>
      <x:c r="T63" s="98" t="n">
        <x:f>S64*('Допущения'!$D$7+$C$11)</x:f>
        <x:v>0.3285725291653544</x:v>
      </x:c>
      <x:c r="U63" s="98" t="n">
        <x:f>T64*('Допущения'!$D$7+$C$11)</x:f>
        <x:v>0.35090854122787407</x:v>
      </x:c>
      <x:c r="V63" s="98" t="n">
        <x:f>U64*('Допущения'!$D$7+$C$11)</x:f>
        <x:v>0.372909513109456</x:v>
      </x:c>
      <x:c r="W63" s="98" t="n">
        <x:f>V64*('Допущения'!$D$7+$C$11)</x:f>
        <x:v>0.3945804704128142</x:v>
      </x:c>
      <x:c r="X63" s="98" t="n">
        <x:f>W64*('Допущения'!$D$7+$C$11)</x:f>
        <x:v>0.415926363356622</x:v>
      </x:c>
      <x:c r="Y63" s="98" t="n">
        <x:f>X64*('Допущения'!$D$7+$C$11)</x:f>
        <x:v>0.43695206790627267</x:v>
      </x:c>
      <x:c r="Z63" s="98" t="n">
        <x:f>Y64*('Допущения'!$D$7+$C$11)</x:f>
        <x:v>0.4576623868876786</x:v>
      </x:c>
      <x:c r="AA63" s="98" t="n">
        <x:f>Z64*('Допущения'!$D$7+$C$11)</x:f>
        <x:v>0.4780620510843634</x:v>
      </x:c>
      <x:c r="AB63" s="98" t="n">
        <x:f>AA64*('Допущения'!$D$7+$C$11)</x:f>
        <x:v>0.5163321203180979</x:v>
      </x:c>
      <x:c r="AC63" s="98" t="n">
        <x:f>AB64*('Допущения'!$D$7+$C$11)</x:f>
        <x:v>0.5540281385133264</x:v>
      </x:c>
      <x:c r="AD63" s="98" t="n">
        <x:f>AC64*('Допущения'!$D$7+$C$11)</x:f>
        <x:v>0.5911587164356267</x:v>
      </x:c>
      <x:c r="AE63" s="98" t="n">
        <x:f>AD64*('Допущения'!$D$7+$C$11)</x:f>
        <x:v>0.6277323356890923</x:v>
      </x:c>
      <x:c r="AF63" s="98" t="n">
        <x:f>AE64*('Допущения'!$D$7+$C$11)</x:f>
        <x:v>0.663757350653756</x:v>
      </x:c>
      <x:c r="AG63" s="98" t="n">
        <x:f>AF64*('Допущения'!$D$7+$C$11)</x:f>
        <x:v>0.6992419903939496</x:v>
      </x:c>
      <x:c r="AH63" s="98" t="n">
        <x:f>AG64*('Допущения'!$D$7+$C$11)</x:f>
        <x:v>0.7341943605380404</x:v>
      </x:c>
      <x:c r="AI63" s="98" t="n">
        <x:f>AH64*('Допущения'!$D$7+$C$11)</x:f>
        <x:v>0.7686224451299699</x:v>
      </x:c>
      <x:c r="AJ63" s="98" t="n">
        <x:f>AI64*('Допущения'!$D$7+$C$11)</x:f>
        <x:v>0.8025341084530203</x:v>
      </x:c>
      <x:c r="AK63" s="98" t="n">
        <x:f>AJ64*('Допущения'!$D$7+$C$11)</x:f>
        <x:v>0.8359370968262252</x:v>
      </x:c>
    </x:row>
    <x:row r="64">
      <x:c r="A64" s="32" t="str">
        <x:v>Активные клиенты Ядра QORSYS</x:v>
      </x:c>
      <x:c r="B64" s="98" t="n">
        <x:f>B62</x:f>
        <x:v>0</x:v>
      </x:c>
      <x:c r="C64" s="98" t="n">
        <x:f>MAX(0,B64+C62-C63)</x:f>
        <x:v>0.6058800000000001</x:v>
      </x:c>
      <x:c r="D64" s="98" t="n">
        <x:f>MAX(0,C64+D62-D63)</x:f>
        <x:v>1.5056118000000003</x:v>
      </x:c>
      <x:c r="E64" s="98" t="n">
        <x:f>MAX(0,D64+E62-E63)</x:f>
        <x:v>2.3918476230000003</x:v>
      </x:c>
      <x:c r="F64" s="98" t="n">
        <x:f>MAX(0,E64+F62-F63)</x:f>
        <x:v>3.567729908655</x:v>
      </x:c>
      <x:c r="G64" s="98" t="n">
        <x:f>MAX(0,F64+G62-G63)</x:f>
        <x:v>4.725973960025175</x:v>
      </x:c>
      <x:c r="H64" s="98" t="n">
        <x:f>MAX(0,G64+H62-H63)</x:f>
        <x:v>5.866844350624797</x:v>
      </x:c>
      <x:c r="I64" s="98" t="n">
        <x:f>MAX(0,H64+I62-I63)</x:f>
        <x:v>7.293541685365426</x:v>
      </x:c>
      <x:c r="J64" s="98" t="n">
        <x:f>MAX(0,I64+J62-J63)</x:f>
        <x:v>8.698838560084946</x:v>
      </x:c>
      <x:c r="K64" s="98" t="n">
        <x:f>MAX(0,J64+K62-K63)</x:f>
        <x:v>10.083055981683671</x:v>
      </x:c>
      <x:c r="L64" s="98" t="n">
        <x:f>MAX(0,K64+L62-L63)</x:f>
        <x:v>11.446510141958417</x:v>
      </x:c>
      <x:c r="M64" s="98" t="n">
        <x:f>MAX(0,L64+M62-M63)</x:f>
        <x:v>12.789512489829042</x:v>
      </x:c>
      <x:c r="N64" s="98" t="n">
        <x:f>MAX(0,M64+N62-N63)</x:f>
        <x:v>14.112369802481606</x:v>
      </x:c>
      <x:c r="O64" s="98" t="n">
        <x:f>MAX(0,N64+O62-O63)</x:f>
        <x:v>15.718324255444383</x:v>
      </x:c>
      <x:c r="P64" s="98" t="n">
        <x:f>MAX(0,O64+P62-P63)</x:f>
        <x:v>17.30018939161272</x:v>
      </x:c>
      <x:c r="Q64" s="98" t="n">
        <x:f>MAX(0,P64+Q62-Q63)</x:f>
        <x:v>18.85832655073853</x:v>
      </x:c>
      <x:c r="R64" s="98" t="n">
        <x:f>MAX(0,Q64+R62-R63)</x:f>
        <x:v>20.39309165247745</x:v>
      </x:c>
      <x:c r="S64" s="98" t="n">
        <x:f>MAX(0,R64+S62-S63)</x:f>
        <x:v>21.904835277690292</x:v>
      </x:c>
      <x:c r="T64" s="98" t="n">
        <x:f>MAX(0,S64+T62-T63)</x:f>
        <x:v>23.39390274852494</x:v>
      </x:c>
      <x:c r="U64" s="98" t="n">
        <x:f>MAX(0,T64+U62-U63)</x:f>
        <x:v>24.860634207297068</x:v>
      </x:c>
      <x:c r="V64" s="98" t="n">
        <x:f>MAX(0,U64+V62-V63)</x:f>
        <x:v>26.305364694187613</x:v>
      </x:c>
      <x:c r="W64" s="98" t="n">
        <x:f>MAX(0,V64+W62-W63)</x:f>
        <x:v>27.728424223774798</x:v>
      </x:c>
      <x:c r="X64" s="98" t="n">
        <x:f>MAX(0,W64+X62-X63)</x:f>
        <x:v>29.130137860418177</x:v>
      </x:c>
      <x:c r="Y64" s="98" t="n">
        <x:f>MAX(0,X64+Y62-Y63)</x:f>
        <x:v>30.510825792511906</x:v>
      </x:c>
      <x:c r="Z64" s="98" t="n">
        <x:f>MAX(0,Y64+Z62-Z63)</x:f>
        <x:v>31.870803405624226</x:v>
      </x:c>
      <x:c r="AA64" s="98" t="n">
        <x:f>MAX(0,Z64+AA62-AA63)</x:f>
        <x:v>34.42214135453986</x:v>
      </x:c>
      <x:c r="AB64" s="98" t="n">
        <x:f>MAX(0,AA64+AB62-AB63)</x:f>
        <x:v>36.935209234221766</x:v>
      </x:c>
      <x:c r="AC64" s="98" t="n">
        <x:f>MAX(0,AB64+AC62-AC63)</x:f>
        <x:v>39.410581095708444</x:v>
      </x:c>
      <x:c r="AD64" s="98" t="n">
        <x:f>MAX(0,AC64+AD62-AD63)</x:f>
        <x:v>41.84882237927282</x:v>
      </x:c>
      <x:c r="AE64" s="98" t="n">
        <x:f>MAX(0,AD64+AE62-AE63)</x:f>
        <x:v>44.25049004358373</x:v>
      </x:c>
      <x:c r="AF64" s="98" t="n">
        <x:f>MAX(0,AE64+AF62-AF63)</x:f>
        <x:v>46.61613269292998</x:v>
      </x:c>
      <x:c r="AG64" s="98" t="n">
        <x:f>MAX(0,AF64+AG62-AG63)</x:f>
        <x:v>48.94629070253603</x:v>
      </x:c>
      <x:c r="AH64" s="98" t="n">
        <x:f>MAX(0,AG64+AH62-AH63)</x:f>
        <x:v>51.241496341997994</x:v>
      </x:c>
      <x:c r="AI64" s="98" t="n">
        <x:f>MAX(0,AH64+AI62-AI63)</x:f>
        <x:v>53.502273896868026</x:v>
      </x:c>
      <x:c r="AJ64" s="98" t="n">
        <x:f>MAX(0,AI64+AJ62-AJ63)</x:f>
        <x:v>55.72913978841501</x:v>
      </x:c>
      <x:c r="AK64" s="98" t="n">
        <x:f>MAX(0,AJ64+AK62-AK63)</x:f>
        <x:v>57.922602691588786</x:v>
      </x:c>
    </x:row>
    <x:row r="65">
      <x:c r="A65" s="32" t="str">
        <x:v>Выручка лицензий, ₽</x:v>
      </x:c>
      <x:c r="B65" s="55" t="n">
        <x:f>B64*'Допущения'!$D$8*$C$8</x:f>
        <x:v>0</x:v>
      </x:c>
      <x:c r="C65" s="55" t="n">
        <x:f>C64*'Допущения'!$D$8*$C$8</x:f>
        <x:v>143896.50000000003</x:v>
      </x:c>
      <x:c r="D65" s="55" t="n">
        <x:f>D64*'Допущения'!$D$8*$C$8</x:f>
        <x:v>357582.80250000005</x:v>
      </x:c>
      <x:c r="E65" s="55" t="n">
        <x:f>E64*'Допущения'!$D$8*$C$8</x:f>
        <x:v>568063.8104625</x:v>
      </x:c>
      <x:c r="F65" s="55" t="n">
        <x:f>F64*'Допущения'!$D$8*$C$8</x:f>
        <x:v>847335.8533055624</x:v>
      </x:c>
      <x:c r="G65" s="55" t="n">
        <x:f>G64*'Допущения'!$D$8*$C$8</x:f>
        <x:v>1122418.815505979</x:v>
      </x:c>
      <x:c r="H65" s="55" t="n">
        <x:f>H64*'Допущения'!$D$8*$C$8</x:f>
        <x:v>1393375.533273389</x:v>
      </x:c>
      <x:c r="I65" s="55" t="n">
        <x:f>I64*'Допущения'!$D$8*$C$8</x:f>
        <x:v>1732216.1502742886</x:v>
      </x:c>
      <x:c r="J65" s="55" t="n">
        <x:f>J64*'Допущения'!$D$8*$C$8</x:f>
        <x:v>2065974.1580201746</x:v>
      </x:c>
      <x:c r="K65" s="55" t="n">
        <x:f>K64*'Допущения'!$D$8*$C$8</x:f>
        <x:v>2394725.7956498717</x:v>
      </x:c>
      <x:c r="L65" s="55" t="n">
        <x:f>L64*'Допущения'!$D$8*$C$8</x:f>
        <x:v>2718546.158715124</x:v>
      </x:c>
      <x:c r="M65" s="55" t="n">
        <x:f>M64*'Допущения'!$D$8*$C$8</x:f>
        <x:v>3037509.216334397</x:v>
      </x:c>
      <x:c r="N65" s="55" t="n">
        <x:f>N64*'Допущения'!$D$8*$C$8</x:f>
        <x:v>3351687.8280893816</x:v>
      </x:c>
      <x:c r="O65" s="55" t="n">
        <x:f>O64*'Допущения'!$D$8*$C$8</x:f>
        <x:v>3733102.0106680407</x:v>
      </x:c>
      <x:c r="P65" s="55" t="n">
        <x:f>P64*'Допущения'!$D$8*$C$8</x:f>
        <x:v>4108794.9805080206</x:v>
      </x:c>
      <x:c r="Q65" s="55" t="n">
        <x:f>Q64*'Допущения'!$D$8*$C$8</x:f>
        <x:v>4478852.555800401</x:v>
      </x:c>
      <x:c r="R65" s="55" t="n">
        <x:f>R64*'Допущения'!$D$8*$C$8</x:f>
        <x:v>4843359.267463394</x:v>
      </x:c>
      <x:c r="S65" s="55" t="n">
        <x:f>S64*'Допущения'!$D$8*$C$8</x:f>
        <x:v>5202398.378451444</x:v>
      </x:c>
      <x:c r="T65" s="55" t="n">
        <x:f>T64*'Допущения'!$D$8*$C$8</x:f>
        <x:v>5556051.902774673</x:v>
      </x:c>
      <x:c r="U65" s="55" t="n">
        <x:f>U64*'Допущения'!$D$8*$C$8</x:f>
        <x:v>5904400.624233053</x:v>
      </x:c>
      <x:c r="V65" s="55" t="n">
        <x:f>V64*'Допущения'!$D$8*$C$8</x:f>
        <x:v>6247524.114869557</x:v>
      </x:c>
      <x:c r="W65" s="55" t="n">
        <x:f>W64*'Допущения'!$D$8*$C$8</x:f>
        <x:v>6585500.753146514</x:v>
      </x:c>
      <x:c r="X65" s="55" t="n">
        <x:f>X64*'Допущения'!$D$8*$C$8</x:f>
        <x:v>6918407.741849317</x:v>
      </x:c>
      <x:c r="Y65" s="55" t="n">
        <x:f>Y64*'Допущения'!$D$8*$C$8</x:f>
        <x:v>7246321.125721578</x:v>
      </x:c>
      <x:c r="Z65" s="55" t="n">
        <x:f>Z64*'Допущения'!$D$8*$C$8</x:f>
        <x:v>7569315.808835753</x:v>
      </x:c>
      <x:c r="AA65" s="55" t="n">
        <x:f>AA64*'Допущения'!$D$8*$C$8</x:f>
        <x:v>8175258.571703217</x:v>
      </x:c>
      <x:c r="AB65" s="55" t="n">
        <x:f>AB64*'Допущения'!$D$8*$C$8</x:f>
        <x:v>8772112.19312767</x:v>
      </x:c>
      <x:c r="AC65" s="55" t="n">
        <x:f>AC64*'Допущения'!$D$8*$C$8</x:f>
        <x:v>9360013.010230755</x:v>
      </x:c>
      <x:c r="AD65" s="55" t="n">
        <x:f>AD64*'Допущения'!$D$8*$C$8</x:f>
        <x:v>9939095.315077294</x:v>
      </x:c>
      <x:c r="AE65" s="55" t="n">
        <x:f>AE64*'Допущения'!$D$8*$C$8</x:f>
        <x:v>10509491.385351134</x:v>
      </x:c>
      <x:c r="AF65" s="55" t="n">
        <x:f>AF64*'Допущения'!$D$8*$C$8</x:f>
        <x:v>11071331.514570871</x:v>
      </x:c>
      <x:c r="AG65" s="55" t="n">
        <x:f>AG64*'Допущения'!$D$8*$C$8</x:f>
        <x:v>11624744.041852307</x:v>
      </x:c>
      <x:c r="AH65" s="55" t="n">
        <x:f>AH64*'Допущения'!$D$8*$C$8</x:f>
        <x:v>12169855.381224524</x:v>
      </x:c>
      <x:c r="AI65" s="55" t="n">
        <x:f>AI64*'Допущения'!$D$8*$C$8</x:f>
        <x:v>12706790.050506156</x:v>
      </x:c>
      <x:c r="AJ65" s="55" t="n">
        <x:f>AJ64*'Допущения'!$D$8*$C$8</x:f>
        <x:v>13235670.699748565</x:v>
      </x:c>
      <x:c r="AK65" s="55" t="n">
        <x:f>AK64*'Допущения'!$D$8*$C$8</x:f>
        <x:v>13756618.139252337</x:v>
      </x:c>
    </x:row>
    <x:row r="66">
      <x:c r="A66" s="32" t="str">
        <x:v>Выручка оптимизаций, ₽</x:v>
      </x:c>
      <x:c r="B66" s="55" t="n">
        <x:f>B61*'Допущения'!$D$9*$C$8</x:f>
        <x:v>1199137.5</x:v>
      </x:c>
      <x:c r="C66" s="55" t="n">
        <x:f>C61*'Допущения'!$D$9*$C$8</x:f>
        <x:v>1798706.2500000005</x:v>
      </x:c>
      <x:c r="D66" s="55" t="n">
        <x:f>D61*'Допущения'!$D$9*$C$8</x:f>
        <x:v>1798706.2500000005</x:v>
      </x:c>
      <x:c r="E66" s="55" t="n">
        <x:f>E61*'Допущения'!$D$9*$C$8</x:f>
        <x:v>2398275</x:v>
      </x:c>
      <x:c r="F66" s="55" t="n">
        <x:f>F61*'Допущения'!$D$9*$C$8</x:f>
        <x:v>2398275</x:v>
      </x:c>
      <x:c r="G66" s="55" t="n">
        <x:f>G61*'Допущения'!$D$9*$C$8</x:f>
        <x:v>2398275</x:v>
      </x:c>
      <x:c r="H66" s="55" t="n">
        <x:f>H61*'Допущения'!$D$9*$C$8</x:f>
        <x:v>2997843.7500000005</x:v>
      </x:c>
      <x:c r="I66" s="55" t="n">
        <x:f>I61*'Допущения'!$D$9*$C$8</x:f>
        <x:v>2997843.7500000005</x:v>
      </x:c>
      <x:c r="J66" s="55" t="n">
        <x:f>J61*'Допущения'!$D$9*$C$8</x:f>
        <x:v>2997843.7500000005</x:v>
      </x:c>
      <x:c r="K66" s="55" t="n">
        <x:f>K61*'Допущения'!$D$9*$C$8</x:f>
        <x:v>2997843.7500000005</x:v>
      </x:c>
      <x:c r="L66" s="55" t="n">
        <x:f>L61*'Допущения'!$D$9*$C$8</x:f>
        <x:v>2997843.7500000005</x:v>
      </x:c>
      <x:c r="M66" s="55" t="n">
        <x:f>M61*'Допущения'!$D$9*$C$8</x:f>
        <x:v>2997843.7500000005</x:v>
      </x:c>
      <x:c r="N66" s="55" t="n">
        <x:f>N61*'Допущения'!$D$9*$C$8</x:f>
        <x:v>3597412.500000001</x:v>
      </x:c>
      <x:c r="O66" s="55" t="n">
        <x:f>O61*'Допущения'!$D$9*$C$8</x:f>
        <x:v>3597412.500000001</x:v>
      </x:c>
      <x:c r="P66" s="55" t="n">
        <x:f>P61*'Допущения'!$D$9*$C$8</x:f>
        <x:v>3597412.500000001</x:v>
      </x:c>
      <x:c r="Q66" s="55" t="n">
        <x:f>Q61*'Допущения'!$D$9*$C$8</x:f>
        <x:v>3597412.500000001</x:v>
      </x:c>
      <x:c r="R66" s="55" t="n">
        <x:f>R61*'Допущения'!$D$9*$C$8</x:f>
        <x:v>3597412.500000001</x:v>
      </x:c>
      <x:c r="S66" s="55" t="n">
        <x:f>S61*'Допущения'!$D$9*$C$8</x:f>
        <x:v>3597412.500000001</x:v>
      </x:c>
      <x:c r="T66" s="55" t="n">
        <x:f>T61*'Допущения'!$D$9*$C$8</x:f>
        <x:v>3597412.500000001</x:v>
      </x:c>
      <x:c r="U66" s="55" t="n">
        <x:f>U61*'Допущения'!$D$9*$C$8</x:f>
        <x:v>3597412.500000001</x:v>
      </x:c>
      <x:c r="V66" s="55" t="n">
        <x:f>V61*'Допущения'!$D$9*$C$8</x:f>
        <x:v>3597412.500000001</x:v>
      </x:c>
      <x:c r="W66" s="55" t="n">
        <x:f>W61*'Допущения'!$D$9*$C$8</x:f>
        <x:v>3597412.500000001</x:v>
      </x:c>
      <x:c r="X66" s="55" t="n">
        <x:f>X61*'Допущения'!$D$9*$C$8</x:f>
        <x:v>3597412.500000001</x:v>
      </x:c>
      <x:c r="Y66" s="55" t="n">
        <x:f>Y61*'Допущения'!$D$9*$C$8</x:f>
        <x:v>3597412.500000001</x:v>
      </x:c>
      <x:c r="Z66" s="55" t="n">
        <x:f>Z61*'Допущения'!$D$9*$C$8</x:f>
        <x:v>5995687.500000001</x:v>
      </x:c>
      <x:c r="AA66" s="55" t="n">
        <x:f>AA61*'Допущения'!$D$9*$C$8</x:f>
        <x:v>5995687.500000001</x:v>
      </x:c>
      <x:c r="AB66" s="55" t="n">
        <x:f>AB61*'Допущения'!$D$9*$C$8</x:f>
        <x:v>5995687.500000001</x:v>
      </x:c>
      <x:c r="AC66" s="55" t="n">
        <x:f>AC61*'Допущения'!$D$9*$C$8</x:f>
        <x:v>5995687.500000001</x:v>
      </x:c>
      <x:c r="AD66" s="55" t="n">
        <x:f>AD61*'Допущения'!$D$9*$C$8</x:f>
        <x:v>5995687.500000001</x:v>
      </x:c>
      <x:c r="AE66" s="55" t="n">
        <x:f>AE61*'Допущения'!$D$9*$C$8</x:f>
        <x:v>5995687.500000001</x:v>
      </x:c>
      <x:c r="AF66" s="55" t="n">
        <x:f>AF61*'Допущения'!$D$9*$C$8</x:f>
        <x:v>5995687.500000001</x:v>
      </x:c>
      <x:c r="AG66" s="55" t="n">
        <x:f>AG61*'Допущения'!$D$9*$C$8</x:f>
        <x:v>5995687.500000001</x:v>
      </x:c>
      <x:c r="AH66" s="55" t="n">
        <x:f>AH61*'Допущения'!$D$9*$C$8</x:f>
        <x:v>5995687.500000001</x:v>
      </x:c>
      <x:c r="AI66" s="55" t="n">
        <x:f>AI61*'Допущения'!$D$9*$C$8</x:f>
        <x:v>5995687.500000001</x:v>
      </x:c>
      <x:c r="AJ66" s="55" t="n">
        <x:f>AJ61*'Допущения'!$D$9*$C$8</x:f>
        <x:v>5995687.500000001</x:v>
      </x:c>
      <x:c r="AK66" s="55" t="n">
        <x:f>AK61*'Допущения'!$D$9*$C$8</x:f>
        <x:v>5995687.500000001</x:v>
      </x:c>
    </x:row>
    <x:row r="67">
      <x:c r="A67" s="32" t="str">
        <x:v>Итого выручка, ₽</x:v>
      </x:c>
      <x:c r="B67" s="55" t="n">
        <x:f>SUM(B65:B66)</x:f>
        <x:v>1199137.5</x:v>
      </x:c>
      <x:c r="C67" s="55" t="n">
        <x:f>SUM(C65:C66)</x:f>
        <x:v>1942602.7500000005</x:v>
      </x:c>
      <x:c r="D67" s="55" t="n">
        <x:f>SUM(D65:D66)</x:f>
        <x:v>2156289.0525000007</x:v>
      </x:c>
      <x:c r="E67" s="55" t="n">
        <x:f>SUM(E65:E66)</x:f>
        <x:v>2966338.8104625</x:v>
      </x:c>
      <x:c r="F67" s="55" t="n">
        <x:f>SUM(F65:F66)</x:f>
        <x:v>3245610.8533055624</x:v>
      </x:c>
      <x:c r="G67" s="55" t="n">
        <x:f>SUM(G65:G66)</x:f>
        <x:v>3520693.8155059787</x:v>
      </x:c>
      <x:c r="H67" s="55" t="n">
        <x:f>SUM(H65:H66)</x:f>
        <x:v>4391219.28327339</x:v>
      </x:c>
      <x:c r="I67" s="55" t="n">
        <x:f>SUM(I65:I66)</x:f>
        <x:v>4730059.900274289</x:v>
      </x:c>
      <x:c r="J67" s="55" t="n">
        <x:f>SUM(J65:J66)</x:f>
        <x:v>5063817.908020175</x:v>
      </x:c>
      <x:c r="K67" s="55" t="n">
        <x:f>SUM(K65:K66)</x:f>
        <x:v>5392569.545649872</x:v>
      </x:c>
      <x:c r="L67" s="55" t="n">
        <x:f>SUM(L65:L66)</x:f>
        <x:v>5716389.908715124</x:v>
      </x:c>
      <x:c r="M67" s="55" t="n">
        <x:f>SUM(M65:M66)</x:f>
        <x:v>6035352.966334397</x:v>
      </x:c>
      <x:c r="N67" s="55" t="n">
        <x:f>SUM(N65:N66)</x:f>
        <x:v>6949100.3280893825</x:v>
      </x:c>
      <x:c r="O67" s="55" t="n">
        <x:f>SUM(O65:O66)</x:f>
        <x:v>7330514.510668041</x:v>
      </x:c>
      <x:c r="P67" s="55" t="n">
        <x:f>SUM(P65:P66)</x:f>
        <x:v>7706207.480508022</x:v>
      </x:c>
      <x:c r="Q67" s="55" t="n">
        <x:f>SUM(Q65:Q66)</x:f>
        <x:v>8076265.055800402</x:v>
      </x:c>
      <x:c r="R67" s="55" t="n">
        <x:f>SUM(R65:R66)</x:f>
        <x:v>8440771.767463395</x:v>
      </x:c>
      <x:c r="S67" s="55" t="n">
        <x:f>SUM(S65:S66)</x:f>
        <x:v>8799810.878451444</x:v>
      </x:c>
      <x:c r="T67" s="55" t="n">
        <x:f>SUM(T65:T66)</x:f>
        <x:v>9153464.402774673</x:v>
      </x:c>
      <x:c r="U67" s="55" t="n">
        <x:f>SUM(U65:U66)</x:f>
        <x:v>9501813.124233054</x:v>
      </x:c>
      <x:c r="V67" s="55" t="n">
        <x:f>SUM(V65:V66)</x:f>
        <x:v>9844936.614869557</x:v>
      </x:c>
      <x:c r="W67" s="55" t="n">
        <x:f>SUM(W65:W66)</x:f>
        <x:v>10182913.253146514</x:v>
      </x:c>
      <x:c r="X67" s="55" t="n">
        <x:f>SUM(X65:X66)</x:f>
        <x:v>10515820.241849318</x:v>
      </x:c>
      <x:c r="Y67" s="55" t="n">
        <x:f>SUM(Y65:Y66)</x:f>
        <x:v>10843733.625721578</x:v>
      </x:c>
      <x:c r="Z67" s="55" t="n">
        <x:f>SUM(Z65:Z66)</x:f>
        <x:v>13565003.308835754</x:v>
      </x:c>
      <x:c r="AA67" s="55" t="n">
        <x:f>SUM(AA65:AA66)</x:f>
        <x:v>14170946.071703218</x:v>
      </x:c>
      <x:c r="AB67" s="55" t="n">
        <x:f>SUM(AB65:AB66)</x:f>
        <x:v>14767799.69312767</x:v>
      </x:c>
      <x:c r="AC67" s="55" t="n">
        <x:f>SUM(AC65:AC66)</x:f>
        <x:v>15355700.510230757</x:v>
      </x:c>
      <x:c r="AD67" s="55" t="n">
        <x:f>SUM(AD65:AD66)</x:f>
        <x:v>15934782.815077294</x:v>
      </x:c>
      <x:c r="AE67" s="55" t="n">
        <x:f>SUM(AE65:AE66)</x:f>
        <x:v>16505178.885351136</x:v>
      </x:c>
      <x:c r="AF67" s="55" t="n">
        <x:f>SUM(AF65:AF66)</x:f>
        <x:v>17067019.014570873</x:v>
      </x:c>
      <x:c r="AG67" s="55" t="n">
        <x:f>SUM(AG65:AG66)</x:f>
        <x:v>17620431.541852307</x:v>
      </x:c>
      <x:c r="AH67" s="55" t="n">
        <x:f>SUM(AH65:AH66)</x:f>
        <x:v>18165542.881224524</x:v>
      </x:c>
      <x:c r="AI67" s="55" t="n">
        <x:f>SUM(AI65:AI66)</x:f>
        <x:v>18702477.550506156</x:v>
      </x:c>
      <x:c r="AJ67" s="55" t="n">
        <x:f>SUM(AJ65:AJ66)</x:f>
        <x:v>19231358.199748565</x:v>
      </x:c>
      <x:c r="AK67" s="55" t="n">
        <x:f>SUM(AK65:AK66)</x:f>
        <x:v>19752305.63925234</x:v>
      </x:c>
    </x:row>
    <x:row r="68">
      <x:c r="A68" s="32" t="str">
        <x:v>Себестоимость аудитов, ₽</x:v>
      </x:c>
      <x:c r="B68" s="55" t="n">
        <x:f>B60*'Допущения'!$D$10*$C$9*(1-'Допущения'!$D$11)^0</x:f>
        <x:v>372600</x:v>
      </x:c>
      <x:c r="C68" s="55" t="n">
        <x:f>C60*'Допущения'!$D$10*$C$9*(1-'Допущения'!$D$11)^0</x:f>
        <x:v>558900</x:v>
      </x:c>
      <x:c r="D68" s="55" t="n">
        <x:f>D60*'Допущения'!$D$10*$C$9*(1-'Допущения'!$D$11)^0</x:f>
        <x:v>558900</x:v>
      </x:c>
      <x:c r="E68" s="55" t="n">
        <x:f>E60*'Допущения'!$D$10*$C$9*(1-'Допущения'!$D$11)^1</x:f>
        <x:v>685584</x:v>
      </x:c>
      <x:c r="F68" s="55" t="n">
        <x:f>F60*'Допущения'!$D$10*$C$9*(1-'Допущения'!$D$11)^1</x:f>
        <x:v>685584</x:v>
      </x:c>
      <x:c r="G68" s="55" t="n">
        <x:f>G60*'Допущения'!$D$10*$C$9*(1-'Допущения'!$D$11)^1</x:f>
        <x:v>685584</x:v>
      </x:c>
      <x:c r="H68" s="55" t="n">
        <x:f>H60*'Допущения'!$D$10*$C$9*(1-'Допущения'!$D$11)^2</x:f>
        <x:v>788421.6</x:v>
      </x:c>
      <x:c r="I68" s="55" t="n">
        <x:f>I60*'Допущения'!$D$10*$C$9*(1-'Допущения'!$D$11)^2</x:f>
        <x:v>788421.6</x:v>
      </x:c>
      <x:c r="J68" s="55" t="n">
        <x:f>J60*'Допущения'!$D$10*$C$9*(1-'Допущения'!$D$11)^2</x:f>
        <x:v>788421.6</x:v>
      </x:c>
      <x:c r="K68" s="55" t="n">
        <x:f>K60*'Допущения'!$D$10*$C$9*(1-'Допущения'!$D$11)^3</x:f>
        <x:v>725347.872</x:v>
      </x:c>
      <x:c r="L68" s="55" t="n">
        <x:f>L60*'Допущения'!$D$10*$C$9*(1-'Допущения'!$D$11)^3</x:f>
        <x:v>725347.872</x:v>
      </x:c>
      <x:c r="M68" s="55" t="n">
        <x:f>M60*'Допущения'!$D$10*$C$9*(1-'Допущения'!$D$11)^3</x:f>
        <x:v>725347.872</x:v>
      </x:c>
      <x:c r="N68" s="55" t="n">
        <x:f>N60*'Допущения'!$D$10*$C$9*(1-'Допущения'!$D$11)^4</x:f>
        <x:v>800784.050688</x:v>
      </x:c>
      <x:c r="O68" s="55" t="n">
        <x:f>O60*'Допущения'!$D$10*$C$9*(1-'Допущения'!$D$11)^4</x:f>
        <x:v>800784.050688</x:v>
      </x:c>
      <x:c r="P68" s="55" t="n">
        <x:f>P60*'Допущения'!$D$10*$C$9*(1-'Допущения'!$D$11)^4</x:f>
        <x:v>800784.050688</x:v>
      </x:c>
      <x:c r="Q68" s="55" t="n">
        <x:f>Q60*'Допущения'!$D$10*$C$9*(1-'Допущения'!$D$11)^5</x:f>
        <x:v>736721.3266329601</x:v>
      </x:c>
      <x:c r="R68" s="55" t="n">
        <x:f>R60*'Допущения'!$D$10*$C$9*(1-'Допущения'!$D$11)^5</x:f>
        <x:v>736721.3266329601</x:v>
      </x:c>
      <x:c r="S68" s="55" t="n">
        <x:f>S60*'Допущения'!$D$10*$C$9*(1-'Допущения'!$D$11)^5</x:f>
        <x:v>736721.3266329601</x:v>
      </x:c>
      <x:c r="T68" s="55" t="n">
        <x:f>T60*'Допущения'!$D$10*$C$9*(1-'Допущения'!$D$11)^6</x:f>
        <x:v>677783.6205023234</x:v>
      </x:c>
      <x:c r="U68" s="55" t="n">
        <x:f>U60*'Допущения'!$D$10*$C$9*(1-'Допущения'!$D$11)^6</x:f>
        <x:v>677783.6205023234</x:v>
      </x:c>
      <x:c r="V68" s="55" t="n">
        <x:f>V60*'Допущения'!$D$10*$C$9*(1-'Допущения'!$D$11)^6</x:f>
        <x:v>677783.6205023234</x:v>
      </x:c>
      <x:c r="W68" s="55" t="n">
        <x:f>W60*'Допущения'!$D$10*$C$9*(1-'Допущения'!$D$11)^7</x:f>
        <x:v>623560.9308621375</x:v>
      </x:c>
      <x:c r="X68" s="55" t="n">
        <x:f>X60*'Допущения'!$D$10*$C$9*(1-'Допущения'!$D$11)^7</x:f>
        <x:v>623560.9308621375</x:v>
      </x:c>
      <x:c r="Y68" s="55" t="n">
        <x:f>Y60*'Допущения'!$D$10*$C$9*(1-'Допущения'!$D$11)^7</x:f>
        <x:v>623560.9308621375</x:v>
      </x:c>
      <x:c r="Z68" s="55" t="n">
        <x:f>Z60*'Допущения'!$D$10*$C$9*(1-'Допущения'!$D$11)^8</x:f>
        <x:v>956126.7606552774</x:v>
      </x:c>
      <x:c r="AA68" s="55" t="n">
        <x:f>AA60*'Допущения'!$D$10*$C$9*(1-'Допущения'!$D$11)^8</x:f>
        <x:v>956126.7606552774</x:v>
      </x:c>
      <x:c r="AB68" s="55" t="n">
        <x:f>AB60*'Допущения'!$D$10*$C$9*(1-'Допущения'!$D$11)^8</x:f>
        <x:v>956126.7606552774</x:v>
      </x:c>
      <x:c r="AC68" s="55" t="n">
        <x:f>AC60*'Допущения'!$D$10*$C$9*(1-'Допущения'!$D$11)^9</x:f>
        <x:v>879636.6198028553</x:v>
      </x:c>
      <x:c r="AD68" s="55" t="n">
        <x:f>AD60*'Допущения'!$D$10*$C$9*(1-'Допущения'!$D$11)^9</x:f>
        <x:v>879636.6198028553</x:v>
      </x:c>
      <x:c r="AE68" s="55" t="n">
        <x:f>AE60*'Допущения'!$D$10*$C$9*(1-'Допущения'!$D$11)^9</x:f>
        <x:v>879636.6198028553</x:v>
      </x:c>
      <x:c r="AF68" s="55" t="n">
        <x:f>AF60*'Допущения'!$D$10*$C$9*(1-'Допущения'!$D$11)^10</x:f>
        <x:v>809265.6902186269</x:v>
      </x:c>
      <x:c r="AG68" s="55" t="n">
        <x:f>AG60*'Допущения'!$D$10*$C$9*(1-'Допущения'!$D$11)^10</x:f>
        <x:v>809265.6902186269</x:v>
      </x:c>
      <x:c r="AH68" s="55" t="n">
        <x:f>AH60*'Допущения'!$D$10*$C$9*(1-'Допущения'!$D$11)^10</x:f>
        <x:v>809265.6902186269</x:v>
      </x:c>
      <x:c r="AI68" s="55" t="n">
        <x:f>AI60*'Допущения'!$D$10*$C$9*(1-'Допущения'!$D$11)^11</x:f>
        <x:v>744524.4350011367</x:v>
      </x:c>
      <x:c r="AJ68" s="55" t="n">
        <x:f>AJ60*'Допущения'!$D$10*$C$9*(1-'Допущения'!$D$11)^11</x:f>
        <x:v>744524.4350011367</x:v>
      </x:c>
      <x:c r="AK68" s="55" t="n">
        <x:f>AK60*'Допущения'!$D$10*$C$9*(1-'Допущения'!$D$11)^11</x:f>
        <x:v>744524.4350011367</x:v>
      </x:c>
    </x:row>
    <x:row r="69">
      <x:c r="A69" s="32" t="str">
        <x:v>Себестоимость оптимизаций, ₽</x:v>
      </x:c>
      <x:c r="B69" s="55" t="n">
        <x:f>B61*'Допущения'!$D$18*$C$10</x:f>
        <x:v>323977.5</x:v>
      </x:c>
      <x:c r="C69" s="55" t="n">
        <x:f>C61*'Допущения'!$D$18*$C$10</x:f>
        <x:v>485966.2500000002</x:v>
      </x:c>
      <x:c r="D69" s="55" t="n">
        <x:f>D61*'Допущения'!$D$18*$C$10</x:f>
        <x:v>485966.2500000002</x:v>
      </x:c>
      <x:c r="E69" s="55" t="n">
        <x:f>E61*'Допущения'!$D$18*$C$10</x:f>
        <x:v>647955</x:v>
      </x:c>
      <x:c r="F69" s="55" t="n">
        <x:f>F61*'Допущения'!$D$18*$C$10</x:f>
        <x:v>647955</x:v>
      </x:c>
      <x:c r="G69" s="55" t="n">
        <x:f>G61*'Допущения'!$D$18*$C$10</x:f>
        <x:v>647955</x:v>
      </x:c>
      <x:c r="H69" s="55" t="n">
        <x:f>H61*'Допущения'!$D$18*$C$10</x:f>
        <x:v>809943.7500000002</x:v>
      </x:c>
      <x:c r="I69" s="55" t="n">
        <x:f>I61*'Допущения'!$D$18*$C$10</x:f>
        <x:v>809943.7500000002</x:v>
      </x:c>
      <x:c r="J69" s="55" t="n">
        <x:f>J61*'Допущения'!$D$18*$C$10</x:f>
        <x:v>809943.7500000002</x:v>
      </x:c>
      <x:c r="K69" s="55" t="n">
        <x:f>K61*'Допущения'!$D$18*$C$10</x:f>
        <x:v>809943.7500000002</x:v>
      </x:c>
      <x:c r="L69" s="55" t="n">
        <x:f>L61*'Допущения'!$D$18*$C$10</x:f>
        <x:v>809943.7500000002</x:v>
      </x:c>
      <x:c r="M69" s="55" t="n">
        <x:f>M61*'Допущения'!$D$18*$C$10</x:f>
        <x:v>809943.7500000002</x:v>
      </x:c>
      <x:c r="N69" s="55" t="n">
        <x:f>N61*'Допущения'!$D$18*$C$10</x:f>
        <x:v>971932.5000000003</x:v>
      </x:c>
      <x:c r="O69" s="55" t="n">
        <x:f>O61*'Допущения'!$D$18*$C$10</x:f>
        <x:v>971932.5000000003</x:v>
      </x:c>
      <x:c r="P69" s="55" t="n">
        <x:f>P61*'Допущения'!$D$18*$C$10</x:f>
        <x:v>971932.5000000003</x:v>
      </x:c>
      <x:c r="Q69" s="55" t="n">
        <x:f>Q61*'Допущения'!$D$18*$C$10</x:f>
        <x:v>971932.5000000003</x:v>
      </x:c>
      <x:c r="R69" s="55" t="n">
        <x:f>R61*'Допущения'!$D$18*$C$10</x:f>
        <x:v>971932.5000000003</x:v>
      </x:c>
      <x:c r="S69" s="55" t="n">
        <x:f>S61*'Допущения'!$D$18*$C$10</x:f>
        <x:v>971932.5000000003</x:v>
      </x:c>
      <x:c r="T69" s="55" t="n">
        <x:f>T61*'Допущения'!$D$18*$C$10</x:f>
        <x:v>971932.5000000003</x:v>
      </x:c>
      <x:c r="U69" s="55" t="n">
        <x:f>U61*'Допущения'!$D$18*$C$10</x:f>
        <x:v>971932.5000000003</x:v>
      </x:c>
      <x:c r="V69" s="55" t="n">
        <x:f>V61*'Допущения'!$D$18*$C$10</x:f>
        <x:v>971932.5000000003</x:v>
      </x:c>
      <x:c r="W69" s="55" t="n">
        <x:f>W61*'Допущения'!$D$18*$C$10</x:f>
        <x:v>971932.5000000003</x:v>
      </x:c>
      <x:c r="X69" s="55" t="n">
        <x:f>X61*'Допущения'!$D$18*$C$10</x:f>
        <x:v>971932.5000000003</x:v>
      </x:c>
      <x:c r="Y69" s="55" t="n">
        <x:f>Y61*'Допущения'!$D$18*$C$10</x:f>
        <x:v>971932.5000000003</x:v>
      </x:c>
      <x:c r="Z69" s="55" t="n">
        <x:f>Z61*'Допущения'!$D$18*$C$10</x:f>
        <x:v>1619887.5000000005</x:v>
      </x:c>
      <x:c r="AA69" s="55" t="n">
        <x:f>AA61*'Допущения'!$D$18*$C$10</x:f>
        <x:v>1619887.5000000005</x:v>
      </x:c>
      <x:c r="AB69" s="55" t="n">
        <x:f>AB61*'Допущения'!$D$18*$C$10</x:f>
        <x:v>1619887.5000000005</x:v>
      </x:c>
      <x:c r="AC69" s="55" t="n">
        <x:f>AC61*'Допущения'!$D$18*$C$10</x:f>
        <x:v>1619887.5000000005</x:v>
      </x:c>
      <x:c r="AD69" s="55" t="n">
        <x:f>AD61*'Допущения'!$D$18*$C$10</x:f>
        <x:v>1619887.5000000005</x:v>
      </x:c>
      <x:c r="AE69" s="55" t="n">
        <x:f>AE61*'Допущения'!$D$18*$C$10</x:f>
        <x:v>1619887.5000000005</x:v>
      </x:c>
      <x:c r="AF69" s="55" t="n">
        <x:f>AF61*'Допущения'!$D$18*$C$10</x:f>
        <x:v>1619887.5000000005</x:v>
      </x:c>
      <x:c r="AG69" s="55" t="n">
        <x:f>AG61*'Допущения'!$D$18*$C$10</x:f>
        <x:v>1619887.5000000005</x:v>
      </x:c>
      <x:c r="AH69" s="55" t="n">
        <x:f>AH61*'Допущения'!$D$18*$C$10</x:f>
        <x:v>1619887.5000000005</x:v>
      </x:c>
      <x:c r="AI69" s="55" t="n">
        <x:f>AI61*'Допущения'!$D$18*$C$10</x:f>
        <x:v>1619887.5000000005</x:v>
      </x:c>
      <x:c r="AJ69" s="55" t="n">
        <x:f>AJ61*'Допущения'!$D$18*$C$10</x:f>
        <x:v>1619887.5000000005</x:v>
      </x:c>
      <x:c r="AK69" s="55" t="n">
        <x:f>AK61*'Допущения'!$D$18*$C$10</x:f>
        <x:v>1619887.5000000005</x:v>
      </x:c>
    </x:row>
    <x:row r="70">
      <x:c r="A70" s="32" t="str">
        <x:v>Поддержка и переменная инфраструктура, ₽</x:v>
      </x:c>
      <x:c r="B70" s="55" t="n">
        <x:f>B64*('Допущения'!$D$19+'Допущения'!$D$21)</x:f>
        <x:v>0</x:v>
      </x:c>
      <x:c r="C70" s="55" t="n">
        <x:f>C64*('Допущения'!$D$19+'Допущения'!$D$21)</x:f>
        <x:v>27264.600000000002</x:v>
      </x:c>
      <x:c r="D70" s="55" t="n">
        <x:f>D64*('Допущения'!$D$19+'Допущения'!$D$21)</x:f>
        <x:v>67752.53100000002</x:v>
      </x:c>
      <x:c r="E70" s="55" t="n">
        <x:f>E64*('Допущения'!$D$19+'Допущения'!$D$21)</x:f>
        <x:v>107633.14303500002</x:v>
      </x:c>
      <x:c r="F70" s="55" t="n">
        <x:f>F64*('Допущения'!$D$19+'Допущения'!$D$21)</x:f>
        <x:v>160547.845889475</x:v>
      </x:c>
      <x:c r="G70" s="55" t="n">
        <x:f>G64*('Допущения'!$D$19+'Допущения'!$D$21)</x:f>
        <x:v>212668.82820113286</x:v>
      </x:c>
      <x:c r="H70" s="55" t="n">
        <x:f>H64*('Допущения'!$D$19+'Допущения'!$D$21)</x:f>
        <x:v>264007.9957781159</x:v>
      </x:c>
      <x:c r="I70" s="55" t="n">
        <x:f>I64*('Допущения'!$D$19+'Допущения'!$D$21)</x:f>
        <x:v>328209.3758414442</x:v>
      </x:c>
      <x:c r="J70" s="55" t="n">
        <x:f>J64*('Допущения'!$D$19+'Допущения'!$D$21)</x:f>
        <x:v>391447.73520382255</x:v>
      </x:c>
      <x:c r="K70" s="55" t="n">
        <x:f>K64*('Допущения'!$D$19+'Допущения'!$D$21)</x:f>
        <x:v>453737.5191757652</x:v>
      </x:c>
      <x:c r="L70" s="55" t="n">
        <x:f>L64*('Допущения'!$D$19+'Допущения'!$D$21)</x:f>
        <x:v>515092.95638812875</x:v>
      </x:c>
      <x:c r="M70" s="55" t="n">
        <x:f>M64*('Допущения'!$D$19+'Допущения'!$D$21)</x:f>
        <x:v>575528.0620423069</x:v>
      </x:c>
      <x:c r="N70" s="55" t="n">
        <x:f>N64*('Допущения'!$D$19+'Допущения'!$D$21)</x:f>
        <x:v>635056.6411116723</x:v>
      </x:c>
      <x:c r="O70" s="55" t="n">
        <x:f>O64*('Допущения'!$D$19+'Допущения'!$D$21)</x:f>
        <x:v>707324.5914949973</x:v>
      </x:c>
      <x:c r="P70" s="55" t="n">
        <x:f>P64*('Допущения'!$D$19+'Допущения'!$D$21)</x:f>
        <x:v>778508.5226225724</x:v>
      </x:c>
      <x:c r="Q70" s="55" t="n">
        <x:f>Q64*('Допущения'!$D$19+'Допущения'!$D$21)</x:f>
        <x:v>848624.6947832338</x:v>
      </x:c>
      <x:c r="R70" s="55" t="n">
        <x:f>R64*('Допущения'!$D$19+'Допущения'!$D$21)</x:f>
        <x:v>917689.1243614854</x:v>
      </x:c>
      <x:c r="S70" s="55" t="n">
        <x:f>S64*('Допущения'!$D$19+'Допущения'!$D$21)</x:f>
        <x:v>985717.5874960632</x:v>
      </x:c>
      <x:c r="T70" s="55" t="n">
        <x:f>T64*('Допущения'!$D$19+'Допущения'!$D$21)</x:f>
        <x:v>1052725.6236836223</x:v>
      </x:c>
      <x:c r="U70" s="55" t="n">
        <x:f>U64*('Допущения'!$D$19+'Допущения'!$D$21)</x:f>
        <x:v>1118728.5393283681</x:v>
      </x:c>
      <x:c r="V70" s="55" t="n">
        <x:f>V64*('Допущения'!$D$19+'Допущения'!$D$21)</x:f>
        <x:v>1183741.4112384426</x:v>
      </x:c>
      <x:c r="W70" s="55" t="n">
        <x:f>W64*('Допущения'!$D$19+'Допущения'!$D$21)</x:f>
        <x:v>1247779.0900698658</x:v>
      </x:c>
      <x:c r="X70" s="55" t="n">
        <x:f>X64*('Допущения'!$D$19+'Допущения'!$D$21)</x:f>
        <x:v>1310856.203718818</x:v>
      </x:c>
      <x:c r="Y70" s="55" t="n">
        <x:f>Y64*('Допущения'!$D$19+'Допущения'!$D$21)</x:f>
        <x:v>1372987.1606630357</x:v>
      </x:c>
      <x:c r="Z70" s="55" t="n">
        <x:f>Z64*('Допущения'!$D$19+'Допущения'!$D$21)</x:f>
        <x:v>1434186.15325309</x:v>
      </x:c>
      <x:c r="AA70" s="55" t="n">
        <x:f>AA64*('Допущения'!$D$19+'Допущения'!$D$21)</x:f>
        <x:v>1548996.3609542937</x:v>
      </x:c>
      <x:c r="AB70" s="55" t="n">
        <x:f>AB64*('Допущения'!$D$19+'Допущения'!$D$21)</x:f>
        <x:v>1662084.4155399795</x:v>
      </x:c>
      <x:c r="AC70" s="55" t="n">
        <x:f>AC64*('Допущения'!$D$19+'Допущения'!$D$21)</x:f>
        <x:v>1773476.14930688</x:v>
      </x:c>
      <x:c r="AD70" s="55" t="n">
        <x:f>AD64*('Допущения'!$D$19+'Допущения'!$D$21)</x:f>
        <x:v>1883197.0070672769</x:v>
      </x:c>
      <x:c r="AE70" s="55" t="n">
        <x:f>AE64*('Допущения'!$D$19+'Допущения'!$D$21)</x:f>
        <x:v>1991272.0519612678</x:v>
      </x:c>
      <x:c r="AF70" s="55" t="n">
        <x:f>AF64*('Допущения'!$D$19+'Допущения'!$D$21)</x:f>
        <x:v>2097725.971181849</x:v>
      </x:c>
      <x:c r="AG70" s="55" t="n">
        <x:f>AG64*('Допущения'!$D$19+'Допущения'!$D$21)</x:f>
        <x:v>2202583.0816141213</x:v>
      </x:c>
      <x:c r="AH70" s="55" t="n">
        <x:f>AH64*('Допущения'!$D$19+'Допущения'!$D$21)</x:f>
        <x:v>2305867.33538991</x:v>
      </x:c>
      <x:c r="AI70" s="55" t="n">
        <x:f>AI64*('Допущения'!$D$19+'Допущения'!$D$21)</x:f>
        <x:v>2407602.3253590614</x:v>
      </x:c>
      <x:c r="AJ70" s="55" t="n">
        <x:f>AJ64*('Допущения'!$D$19+'Допущения'!$D$21)</x:f>
        <x:v>2507811.2904786756</x:v>
      </x:c>
      <x:c r="AK70" s="55" t="n">
        <x:f>AK64*('Допущения'!$D$19+'Допущения'!$D$21)</x:f>
        <x:v>2606517.1211214955</x:v>
      </x:c>
    </x:row>
    <x:row r="71">
      <x:c r="A71" s="32" t="str">
        <x:v>Валовая прибыль, ₽</x:v>
      </x:c>
      <x:c r="B71" s="55" t="n">
        <x:f>B67-B68-B69-B70</x:f>
        <x:v>502560</x:v>
      </x:c>
      <x:c r="C71" s="55" t="n">
        <x:f>C67-C68-C69-C70</x:f>
        <x:v>870471.9000000003</x:v>
      </x:c>
      <x:c r="D71" s="55" t="n">
        <x:f>D67-D68-D69-D70</x:f>
        <x:v>1043670.2715000005</x:v>
      </x:c>
      <x:c r="E71" s="55" t="n">
        <x:f>E67-E68-E69-E70</x:f>
        <x:v>1525166.6674275</x:v>
      </x:c>
      <x:c r="F71" s="55" t="n">
        <x:f>F67-F68-F69-F70</x:f>
        <x:v>1751524.0074160874</x:v>
      </x:c>
      <x:c r="G71" s="55" t="n">
        <x:f>G67-G68-G69-G70</x:f>
        <x:v>1974485.9873048458</x:v>
      </x:c>
      <x:c r="H71" s="55" t="n">
        <x:f>H67-H68-H69-H70</x:f>
        <x:v>2528845.937495273</x:v>
      </x:c>
      <x:c r="I71" s="55" t="n">
        <x:f>I67-I68-I69-I70</x:f>
        <x:v>2803485.174432844</x:v>
      </x:c>
      <x:c r="J71" s="55" t="n">
        <x:f>J67-J68-J69-J70</x:f>
        <x:v>3074004.822816353</x:v>
      </x:c>
      <x:c r="K71" s="55" t="n">
        <x:f>K67-K68-K69-K70</x:f>
        <x:v>3403540.4044741066</x:v>
      </x:c>
      <x:c r="L71" s="55" t="n">
        <x:f>L67-L68-L69-L70</x:f>
        <x:v>3666005.330326995</x:v>
      </x:c>
      <x:c r="M71" s="55" t="n">
        <x:f>M67-M68-M69-M70</x:f>
        <x:v>3924533.2822920904</x:v>
      </x:c>
      <x:c r="N71" s="55" t="n">
        <x:f>N67-N68-N69-N70</x:f>
        <x:v>4541327.13628971</x:v>
      </x:c>
      <x:c r="O71" s="55" t="n">
        <x:f>O67-O68-O69-O70</x:f>
        <x:v>4850473.368485044</x:v>
      </x:c>
      <x:c r="P71" s="55" t="n">
        <x:f>P67-P68-P69-P70</x:f>
        <x:v>5154982.407197449</x:v>
      </x:c>
      <x:c r="Q71" s="55" t="n">
        <x:f>Q67-Q68-Q69-Q70</x:f>
        <x:v>5518986.534384208</x:v>
      </x:c>
      <x:c r="R71" s="55" t="n">
        <x:f>R67-R68-R69-R70</x:f>
        <x:v>5814428.81646895</x:v>
      </x:c>
      <x:c r="S71" s="55" t="n">
        <x:f>S67-S68-S69-S70</x:f>
        <x:v>6105439.464322422</x:v>
      </x:c>
      <x:c r="T71" s="55" t="n">
        <x:f>T67-T68-T69-T70</x:f>
        <x:v>6451022.658588728</x:v>
      </x:c>
      <x:c r="U71" s="55" t="n">
        <x:f>U67-U68-U69-U70</x:f>
        <x:v>6733368.464402363</x:v>
      </x:c>
      <x:c r="V71" s="55" t="n">
        <x:f>V67-V68-V69-V70</x:f>
        <x:v>7011479.083128791</x:v>
      </x:c>
      <x:c r="W71" s="55" t="n">
        <x:f>W67-W68-W69-W70</x:f>
        <x:v>7339640.73221451</x:v>
      </x:c>
      <x:c r="X71" s="55" t="n">
        <x:f>X67-X68-X69-X70</x:f>
        <x:v>7609470.607268362</x:v>
      </x:c>
      <x:c r="Y71" s="55" t="n">
        <x:f>Y67-Y68-Y69-Y70</x:f>
        <x:v>7875253.034196404</x:v>
      </x:c>
      <x:c r="Z71" s="55" t="n">
        <x:f>Z67-Z68-Z69-Z70</x:f>
        <x:v>9554802.894927386</x:v>
      </x:c>
      <x:c r="AA71" s="55" t="n">
        <x:f>AA67-AA68-AA69-AA70</x:f>
        <x:v>10045935.450093647</x:v>
      </x:c>
      <x:c r="AB71" s="55" t="n">
        <x:f>AB67-AB68-AB69-AB70</x:f>
        <x:v>10529701.016932413</x:v>
      </x:c>
      <x:c r="AC71" s="55" t="n">
        <x:f>AC67-AC68-AC69-AC70</x:f>
        <x:v>11082700.241121022</x:v>
      </x:c>
      <x:c r="AD71" s="55" t="n">
        <x:f>AD67-AD68-AD69-AD70</x:f>
        <x:v>11552061.688207163</x:v>
      </x:c>
      <x:c r="AE71" s="55" t="n">
        <x:f>AE67-AE68-AE69-AE70</x:f>
        <x:v>12014382.713587014</x:v>
      </x:c>
      <x:c r="AF71" s="55" t="n">
        <x:f>AF67-AF68-AF69-AF70</x:f>
        <x:v>12540139.853170397</x:v>
      </x:c>
      <x:c r="AG71" s="55" t="n">
        <x:f>AG67-AG68-AG69-AG70</x:f>
        <x:v>12988695.270019557</x:v>
      </x:c>
      <x:c r="AH71" s="55" t="n">
        <x:f>AH67-AH68-AH69-AH70</x:f>
        <x:v>13430522.355615987</x:v>
      </x:c>
      <x:c r="AI71" s="55" t="n">
        <x:f>AI67-AI68-AI69-AI70</x:f>
        <x:v>13930463.290145956</x:v>
      </x:c>
      <x:c r="AJ71" s="55" t="n">
        <x:f>AJ67-AJ68-AJ69-AJ70</x:f>
        <x:v>14359134.97426875</x:v>
      </x:c>
      <x:c r="AK71" s="55" t="n">
        <x:f>AK67-AK68-AK69-AK70</x:f>
        <x:v>14781376.583129704</x:v>
      </x:c>
    </x:row>
    <x:row r="72">
      <x:c r="A72" s="32" t="str">
        <x:v>Дополнительная команда роста, ₽</x:v>
      </x:c>
      <x:c r="B72" s="55" t="n">
        <x:f>IF(B64&gt;'Допущения'!$D$35,'Допущения'!$D$36,IF(B64&gt;'Допущения'!$D$33,'Допущения'!$D$34,IF(B64&gt;'Допущения'!$D$31,'Допущения'!$D$32,IF(B64&gt;'Допущения'!$D$29,'Допущения'!$D$30,0))))*$C$15</x:f>
        <x:v>0</x:v>
      </x:c>
      <x:c r="C72" s="55" t="n">
        <x:f>IF(C64&gt;'Допущения'!$D$35,'Допущения'!$D$36,IF(C64&gt;'Допущения'!$D$33,'Допущения'!$D$34,IF(C64&gt;'Допущения'!$D$31,'Допущения'!$D$32,IF(C64&gt;'Допущения'!$D$29,'Допущения'!$D$30,0))))*$C$15</x:f>
        <x:v>0</x:v>
      </x:c>
      <x:c r="D72" s="55" t="n">
        <x:f>IF(D64&gt;'Допущения'!$D$35,'Допущения'!$D$36,IF(D64&gt;'Допущения'!$D$33,'Допущения'!$D$34,IF(D64&gt;'Допущения'!$D$31,'Допущения'!$D$32,IF(D64&gt;'Допущения'!$D$29,'Допущения'!$D$30,0))))*$C$15</x:f>
        <x:v>0</x:v>
      </x:c>
      <x:c r="E72" s="55" t="n">
        <x:f>IF(E64&gt;'Допущения'!$D$35,'Допущения'!$D$36,IF(E64&gt;'Допущения'!$D$33,'Допущения'!$D$34,IF(E64&gt;'Допущения'!$D$31,'Допущения'!$D$32,IF(E64&gt;'Допущения'!$D$29,'Допущения'!$D$30,0))))*$C$15</x:f>
        <x:v>0</x:v>
      </x:c>
      <x:c r="F72" s="55" t="n">
        <x:f>IF(F64&gt;'Допущения'!$D$35,'Допущения'!$D$36,IF(F64&gt;'Допущения'!$D$33,'Допущения'!$D$34,IF(F64&gt;'Допущения'!$D$31,'Допущения'!$D$32,IF(F64&gt;'Допущения'!$D$29,'Допущения'!$D$30,0))))*$C$15</x:f>
        <x:v>0</x:v>
      </x:c>
      <x:c r="G72" s="55" t="n">
        <x:f>IF(G64&gt;'Допущения'!$D$35,'Допущения'!$D$36,IF(G64&gt;'Допущения'!$D$33,'Допущения'!$D$34,IF(G64&gt;'Допущения'!$D$31,'Допущения'!$D$32,IF(G64&gt;'Допущения'!$D$29,'Допущения'!$D$30,0))))*$C$15</x:f>
        <x:v>0</x:v>
      </x:c>
      <x:c r="H72" s="55" t="n">
        <x:f>IF(H64&gt;'Допущения'!$D$35,'Допущения'!$D$36,IF(H64&gt;'Допущения'!$D$33,'Допущения'!$D$34,IF(H64&gt;'Допущения'!$D$31,'Допущения'!$D$32,IF(H64&gt;'Допущения'!$D$29,'Допущения'!$D$30,0))))*$C$15</x:f>
        <x:v>0</x:v>
      </x:c>
      <x:c r="I72" s="55" t="n">
        <x:f>IF(I64&gt;'Допущения'!$D$35,'Допущения'!$D$36,IF(I64&gt;'Допущения'!$D$33,'Допущения'!$D$34,IF(I64&gt;'Допущения'!$D$31,'Допущения'!$D$32,IF(I64&gt;'Допущения'!$D$29,'Допущения'!$D$30,0))))*$C$15</x:f>
        <x:v>0</x:v>
      </x:c>
      <x:c r="J72" s="55" t="n">
        <x:f>IF(J64&gt;'Допущения'!$D$35,'Допущения'!$D$36,IF(J64&gt;'Допущения'!$D$33,'Допущения'!$D$34,IF(J64&gt;'Допущения'!$D$31,'Допущения'!$D$32,IF(J64&gt;'Допущения'!$D$29,'Допущения'!$D$30,0))))*$C$15</x:f>
        <x:v>0</x:v>
      </x:c>
      <x:c r="K72" s="55" t="n">
        <x:f>IF(K64&gt;'Допущения'!$D$35,'Допущения'!$D$36,IF(K64&gt;'Допущения'!$D$33,'Допущения'!$D$34,IF(K64&gt;'Допущения'!$D$31,'Допущения'!$D$32,IF(K64&gt;'Допущения'!$D$29,'Допущения'!$D$30,0))))*$C$15</x:f>
        <x:v>262500</x:v>
      </x:c>
      <x:c r="L72" s="55" t="n">
        <x:f>IF(L64&gt;'Допущения'!$D$35,'Допущения'!$D$36,IF(L64&gt;'Допущения'!$D$33,'Допущения'!$D$34,IF(L64&gt;'Допущения'!$D$31,'Допущения'!$D$32,IF(L64&gt;'Допущения'!$D$29,'Допущения'!$D$30,0))))*$C$15</x:f>
        <x:v>262500</x:v>
      </x:c>
      <x:c r="M72" s="55" t="n">
        <x:f>IF(M64&gt;'Допущения'!$D$35,'Допущения'!$D$36,IF(M64&gt;'Допущения'!$D$33,'Допущения'!$D$34,IF(M64&gt;'Допущения'!$D$31,'Допущения'!$D$32,IF(M64&gt;'Допущения'!$D$29,'Допущения'!$D$30,0))))*$C$15</x:f>
        <x:v>262500</x:v>
      </x:c>
      <x:c r="N72" s="55" t="n">
        <x:f>IF(N64&gt;'Допущения'!$D$35,'Допущения'!$D$36,IF(N64&gt;'Допущения'!$D$33,'Допущения'!$D$34,IF(N64&gt;'Допущения'!$D$31,'Допущения'!$D$32,IF(N64&gt;'Допущения'!$D$29,'Допущения'!$D$30,0))))*$C$15</x:f>
        <x:v>262500</x:v>
      </x:c>
      <x:c r="O72" s="55" t="n">
        <x:f>IF(O64&gt;'Допущения'!$D$35,'Допущения'!$D$36,IF(O64&gt;'Допущения'!$D$33,'Допущения'!$D$34,IF(O64&gt;'Допущения'!$D$31,'Допущения'!$D$32,IF(O64&gt;'Допущения'!$D$29,'Допущения'!$D$30,0))))*$C$15</x:f>
        <x:v>262500</x:v>
      </x:c>
      <x:c r="P72" s="55" t="n">
        <x:f>IF(P64&gt;'Допущения'!$D$35,'Допущения'!$D$36,IF(P64&gt;'Допущения'!$D$33,'Допущения'!$D$34,IF(P64&gt;'Допущения'!$D$31,'Допущения'!$D$32,IF(P64&gt;'Допущения'!$D$29,'Допущения'!$D$30,0))))*$C$15</x:f>
        <x:v>262500</x:v>
      </x:c>
      <x:c r="Q72" s="55" t="n">
        <x:f>IF(Q64&gt;'Допущения'!$D$35,'Допущения'!$D$36,IF(Q64&gt;'Допущения'!$D$33,'Допущения'!$D$34,IF(Q64&gt;'Допущения'!$D$31,'Допущения'!$D$32,IF(Q64&gt;'Допущения'!$D$29,'Допущения'!$D$30,0))))*$C$15</x:f>
        <x:v>262500</x:v>
      </x:c>
      <x:c r="R72" s="55" t="n">
        <x:f>IF(R64&gt;'Допущения'!$D$35,'Допущения'!$D$36,IF(R64&gt;'Допущения'!$D$33,'Допущения'!$D$34,IF(R64&gt;'Допущения'!$D$31,'Допущения'!$D$32,IF(R64&gt;'Допущения'!$D$29,'Допущения'!$D$30,0))))*$C$15</x:f>
        <x:v>262500</x:v>
      </x:c>
      <x:c r="S72" s="55" t="n">
        <x:f>IF(S64&gt;'Допущения'!$D$35,'Допущения'!$D$36,IF(S64&gt;'Допущения'!$D$33,'Допущения'!$D$34,IF(S64&gt;'Допущения'!$D$31,'Допущения'!$D$32,IF(S64&gt;'Допущения'!$D$29,'Допущения'!$D$30,0))))*$C$15</x:f>
        <x:v>262500</x:v>
      </x:c>
      <x:c r="T72" s="55" t="n">
        <x:f>IF(T64&gt;'Допущения'!$D$35,'Допущения'!$D$36,IF(T64&gt;'Допущения'!$D$33,'Допущения'!$D$34,IF(T64&gt;'Допущения'!$D$31,'Допущения'!$D$32,IF(T64&gt;'Допущения'!$D$29,'Допущения'!$D$30,0))))*$C$15</x:f>
        <x:v>262500</x:v>
      </x:c>
      <x:c r="U72" s="55" t="n">
        <x:f>IF(U64&gt;'Допущения'!$D$35,'Допущения'!$D$36,IF(U64&gt;'Допущения'!$D$33,'Допущения'!$D$34,IF(U64&gt;'Допущения'!$D$31,'Допущения'!$D$32,IF(U64&gt;'Допущения'!$D$29,'Допущения'!$D$30,0))))*$C$15</x:f>
        <x:v>262500</x:v>
      </x:c>
      <x:c r="V72" s="55" t="n">
        <x:f>IF(V64&gt;'Допущения'!$D$35,'Допущения'!$D$36,IF(V64&gt;'Допущения'!$D$33,'Допущения'!$D$34,IF(V64&gt;'Допущения'!$D$31,'Допущения'!$D$32,IF(V64&gt;'Допущения'!$D$29,'Допущения'!$D$30,0))))*$C$15</x:f>
        <x:v>525000</x:v>
      </x:c>
      <x:c r="W72" s="55" t="n">
        <x:f>IF(W64&gt;'Допущения'!$D$35,'Допущения'!$D$36,IF(W64&gt;'Допущения'!$D$33,'Допущения'!$D$34,IF(W64&gt;'Допущения'!$D$31,'Допущения'!$D$32,IF(W64&gt;'Допущения'!$D$29,'Допущения'!$D$30,0))))*$C$15</x:f>
        <x:v>525000</x:v>
      </x:c>
      <x:c r="X72" s="55" t="n">
        <x:f>IF(X64&gt;'Допущения'!$D$35,'Допущения'!$D$36,IF(X64&gt;'Допущения'!$D$33,'Допущения'!$D$34,IF(X64&gt;'Допущения'!$D$31,'Допущения'!$D$32,IF(X64&gt;'Допущения'!$D$29,'Допущения'!$D$30,0))))*$C$15</x:f>
        <x:v>525000</x:v>
      </x:c>
      <x:c r="Y72" s="55" t="n">
        <x:f>IF(Y64&gt;'Допущения'!$D$35,'Допущения'!$D$36,IF(Y64&gt;'Допущения'!$D$33,'Допущения'!$D$34,IF(Y64&gt;'Допущения'!$D$31,'Допущения'!$D$32,IF(Y64&gt;'Допущения'!$D$29,'Допущения'!$D$30,0))))*$C$15</x:f>
        <x:v>525000</x:v>
      </x:c>
      <x:c r="Z72" s="55" t="n">
        <x:f>IF(Z64&gt;'Допущения'!$D$35,'Допущения'!$D$36,IF(Z64&gt;'Допущения'!$D$33,'Допущения'!$D$34,IF(Z64&gt;'Допущения'!$D$31,'Допущения'!$D$32,IF(Z64&gt;'Допущения'!$D$29,'Допущения'!$D$30,0))))*$C$15</x:f>
        <x:v>525000</x:v>
      </x:c>
      <x:c r="AA72" s="55" t="n">
        <x:f>IF(AA64&gt;'Допущения'!$D$35,'Допущения'!$D$36,IF(AA64&gt;'Допущения'!$D$33,'Допущения'!$D$34,IF(AA64&gt;'Допущения'!$D$31,'Допущения'!$D$32,IF(AA64&gt;'Допущения'!$D$29,'Допущения'!$D$30,0))))*$C$15</x:f>
        <x:v>525000</x:v>
      </x:c>
      <x:c r="AB72" s="55" t="n">
        <x:f>IF(AB64&gt;'Допущения'!$D$35,'Допущения'!$D$36,IF(AB64&gt;'Допущения'!$D$33,'Допущения'!$D$34,IF(AB64&gt;'Допущения'!$D$31,'Допущения'!$D$32,IF(AB64&gt;'Допущения'!$D$29,'Допущения'!$D$30,0))))*$C$15</x:f>
        <x:v>525000</x:v>
      </x:c>
      <x:c r="AC72" s="55" t="n">
        <x:f>IF(AC64&gt;'Допущения'!$D$35,'Допущения'!$D$36,IF(AC64&gt;'Допущения'!$D$33,'Допущения'!$D$34,IF(AC64&gt;'Допущения'!$D$31,'Допущения'!$D$32,IF(AC64&gt;'Допущения'!$D$29,'Допущения'!$D$30,0))))*$C$15</x:f>
        <x:v>525000</x:v>
      </x:c>
      <x:c r="AD72" s="55" t="n">
        <x:f>IF(AD64&gt;'Допущения'!$D$35,'Допущения'!$D$36,IF(AD64&gt;'Допущения'!$D$33,'Допущения'!$D$34,IF(AD64&gt;'Допущения'!$D$31,'Допущения'!$D$32,IF(AD64&gt;'Допущения'!$D$29,'Допущения'!$D$30,0))))*$C$15</x:f>
        <x:v>525000</x:v>
      </x:c>
      <x:c r="AE72" s="55" t="n">
        <x:f>IF(AE64&gt;'Допущения'!$D$35,'Допущения'!$D$36,IF(AE64&gt;'Допущения'!$D$33,'Допущения'!$D$34,IF(AE64&gt;'Допущения'!$D$31,'Допущения'!$D$32,IF(AE64&gt;'Допущения'!$D$29,'Допущения'!$D$30,0))))*$C$15</x:f>
        <x:v>525000</x:v>
      </x:c>
      <x:c r="AF72" s="55" t="n">
        <x:f>IF(AF64&gt;'Допущения'!$D$35,'Допущения'!$D$36,IF(AF64&gt;'Допущения'!$D$33,'Допущения'!$D$34,IF(AF64&gt;'Допущения'!$D$31,'Допущения'!$D$32,IF(AF64&gt;'Допущения'!$D$29,'Допущения'!$D$30,0))))*$C$15</x:f>
        <x:v>525000</x:v>
      </x:c>
      <x:c r="AG72" s="55" t="n">
        <x:f>IF(AG64&gt;'Допущения'!$D$35,'Допущения'!$D$36,IF(AG64&gt;'Допущения'!$D$33,'Допущения'!$D$34,IF(AG64&gt;'Допущения'!$D$31,'Допущения'!$D$32,IF(AG64&gt;'Допущения'!$D$29,'Допущения'!$D$30,0))))*$C$15</x:f>
        <x:v>525000</x:v>
      </x:c>
      <x:c r="AH72" s="55" t="n">
        <x:f>IF(AH64&gt;'Допущения'!$D$35,'Допущения'!$D$36,IF(AH64&gt;'Допущения'!$D$33,'Допущения'!$D$34,IF(AH64&gt;'Допущения'!$D$31,'Допущения'!$D$32,IF(AH64&gt;'Допущения'!$D$29,'Допущения'!$D$30,0))))*$C$15</x:f>
        <x:v>892500</x:v>
      </x:c>
      <x:c r="AI72" s="55" t="n">
        <x:f>IF(AI64&gt;'Допущения'!$D$35,'Допущения'!$D$36,IF(AI64&gt;'Допущения'!$D$33,'Допущения'!$D$34,IF(AI64&gt;'Допущения'!$D$31,'Допущения'!$D$32,IF(AI64&gt;'Допущения'!$D$29,'Допущения'!$D$30,0))))*$C$15</x:f>
        <x:v>892500</x:v>
      </x:c>
      <x:c r="AJ72" s="55" t="n">
        <x:f>IF(AJ64&gt;'Допущения'!$D$35,'Допущения'!$D$36,IF(AJ64&gt;'Допущения'!$D$33,'Допущения'!$D$34,IF(AJ64&gt;'Допущения'!$D$31,'Допущения'!$D$32,IF(AJ64&gt;'Допущения'!$D$29,'Допущения'!$D$30,0))))*$C$15</x:f>
        <x:v>892500</x:v>
      </x:c>
      <x:c r="AK72" s="55" t="n">
        <x:f>IF(AK64&gt;'Допущения'!$D$35,'Допущения'!$D$36,IF(AK64&gt;'Допущения'!$D$33,'Допущения'!$D$34,IF(AK64&gt;'Допущения'!$D$31,'Допущения'!$D$32,IF(AK64&gt;'Допущения'!$D$29,'Допущения'!$D$30,0))))*$C$15</x:f>
        <x:v>892500</x:v>
      </x:c>
    </x:row>
    <x:row r="73">
      <x:c r="A73" s="32" t="str">
        <x:v>Операционные расходы, ₽</x:v>
      </x:c>
      <x:c r="B73" s="55" t="n">
        <x:f>'Модель 36м'!B20*$C$15+B72+'Допущения'!$D$20+'Допущения'!$D$22+'Допущения'!$D$24</x:f>
        <x:v>3170000</x:v>
      </x:c>
      <x:c r="C73" s="55" t="n">
        <x:f>'Модель 36м'!C20*$C$15+C72+'Допущения'!$D$20+'Допущения'!$D$22+'Допущения'!$D$24</x:f>
        <x:v>3170000</x:v>
      </x:c>
      <x:c r="D73" s="55" t="n">
        <x:f>'Модель 36м'!D20*$C$15+D72+'Допущения'!$D$20+'Допущения'!$D$22+'Допущения'!$D$24</x:f>
        <x:v>3170000</x:v>
      </x:c>
      <x:c r="E73" s="55" t="n">
        <x:f>'Модель 36м'!E20*$C$15+E72+'Допущения'!$D$20+'Допущения'!$D$23+'Допущения'!$D$24</x:f>
        <x:v>3682500</x:v>
      </x:c>
      <x:c r="F73" s="55" t="n">
        <x:f>'Модель 36м'!F20*$C$15+F72+'Допущения'!$D$20+'Допущения'!$D$23+'Допущения'!$D$24</x:f>
        <x:v>3682500</x:v>
      </x:c>
      <x:c r="G73" s="55" t="n">
        <x:f>'Модель 36м'!G20*$C$15+G72+'Допущения'!$D$20+'Допущения'!$D$23+'Допущения'!$D$24</x:f>
        <x:v>3682500</x:v>
      </x:c>
      <x:c r="H73" s="55" t="n">
        <x:f>'Модель 36м'!H20*$C$15+H72+'Допущения'!$D$20+'Допущения'!$D$23+'Допущения'!$D$24</x:f>
        <x:v>4260000</x:v>
      </x:c>
      <x:c r="I73" s="55" t="n">
        <x:f>'Модель 36м'!I20*$C$15+I72+'Допущения'!$D$20+'Допущения'!$D$23+'Допущения'!$D$24</x:f>
        <x:v>4260000</x:v>
      </x:c>
      <x:c r="J73" s="55" t="n">
        <x:f>'Модель 36м'!J20*$C$15+J72+'Допущения'!$D$20+'Допущения'!$D$23+'Допущения'!$D$24</x:f>
        <x:v>4260000</x:v>
      </x:c>
      <x:c r="K73" s="55" t="n">
        <x:f>'Модель 36м'!K20*$C$15+K72+'Допущения'!$D$20+'Допущения'!$D$23+'Допущения'!$D$24</x:f>
        <x:v>4785000</x:v>
      </x:c>
      <x:c r="L73" s="55" t="n">
        <x:f>'Модель 36м'!L20*$C$15+L72+'Допущения'!$D$20+'Допущения'!$D$23+'Допущения'!$D$24</x:f>
        <x:v>4785000</x:v>
      </x:c>
      <x:c r="M73" s="55" t="n">
        <x:f>'Модель 36м'!M20*$C$15+M72+'Допущения'!$D$20+'Допущения'!$D$23+'Допущения'!$D$24</x:f>
        <x:v>4785000</x:v>
      </x:c>
      <x:c r="N73" s="55" t="n">
        <x:f>'Модель 36м'!N20*$C$15+N72+'Допущения'!$D$20+'Допущения'!$D$23+'Допущения'!$D$24</x:f>
        <x:v>4974000</x:v>
      </x:c>
      <x:c r="O73" s="55" t="n">
        <x:f>'Модель 36м'!O20*$C$15+O72+'Допущения'!$D$20+'Допущения'!$D$23+'Допущения'!$D$24</x:f>
        <x:v>4974000</x:v>
      </x:c>
      <x:c r="P73" s="55" t="n">
        <x:f>'Модель 36м'!P20*$C$15+P72+'Допущения'!$D$20+'Допущения'!$D$23+'Допущения'!$D$24</x:f>
        <x:v>4974000</x:v>
      </x:c>
      <x:c r="Q73" s="55" t="n">
        <x:f>'Модель 36м'!Q20*$C$15+Q72+'Допущения'!$D$20+'Допущения'!$D$23+'Допущения'!$D$24</x:f>
        <x:v>4974000</x:v>
      </x:c>
      <x:c r="R73" s="55" t="n">
        <x:f>'Модель 36м'!R20*$C$15+R72+'Допущения'!$D$20+'Допущения'!$D$23+'Допущения'!$D$24</x:f>
        <x:v>4974000</x:v>
      </x:c>
      <x:c r="S73" s="55" t="n">
        <x:f>'Модель 36м'!S20*$C$15+S72+'Допущения'!$D$20+'Допущения'!$D$23+'Допущения'!$D$24</x:f>
        <x:v>4974000</x:v>
      </x:c>
      <x:c r="T73" s="55" t="n">
        <x:f>'Модель 36м'!T20*$C$15+T72+'Допущения'!$D$20+'Допущения'!$D$23+'Допущения'!$D$24</x:f>
        <x:v>4974000</x:v>
      </x:c>
      <x:c r="U73" s="55" t="n">
        <x:f>'Модель 36м'!U20*$C$15+U72+'Допущения'!$D$20+'Допущения'!$D$23+'Допущения'!$D$24</x:f>
        <x:v>4974000</x:v>
      </x:c>
      <x:c r="V73" s="55" t="n">
        <x:f>'Модель 36м'!V20*$C$15+V72+'Допущения'!$D$20+'Допущения'!$D$23+'Допущения'!$D$24</x:f>
        <x:v>5236500</x:v>
      </x:c>
      <x:c r="W73" s="55" t="n">
        <x:f>'Модель 36м'!W20*$C$15+W72+'Допущения'!$D$20+'Допущения'!$D$23+'Допущения'!$D$24</x:f>
        <x:v>5236500</x:v>
      </x:c>
      <x:c r="X73" s="55" t="n">
        <x:f>'Модель 36м'!X20*$C$15+X72+'Допущения'!$D$20+'Допущения'!$D$23+'Допущения'!$D$24</x:f>
        <x:v>5236500</x:v>
      </x:c>
      <x:c r="Y73" s="55" t="n">
        <x:f>'Модель 36м'!Y20*$C$15+Y72+'Допущения'!$D$20+'Допущения'!$D$23+'Допущения'!$D$24</x:f>
        <x:v>5236500</x:v>
      </x:c>
      <x:c r="Z73" s="55" t="n">
        <x:f>'Модель 36м'!Z20*$C$15+Z72+'Допущения'!$D$20+'Допущения'!$D$23+'Допущения'!$D$24</x:f>
        <x:v>5617650</x:v>
      </x:c>
      <x:c r="AA73" s="55" t="n">
        <x:f>'Модель 36м'!AA20*$C$15+AA72+'Допущения'!$D$20+'Допущения'!$D$23+'Допущения'!$D$24</x:f>
        <x:v>5617650</x:v>
      </x:c>
      <x:c r="AB73" s="55" t="n">
        <x:f>'Модель 36м'!AB20*$C$15+AB72+'Допущения'!$D$20+'Допущения'!$D$23+'Допущения'!$D$24</x:f>
        <x:v>5617650</x:v>
      </x:c>
      <x:c r="AC73" s="55" t="n">
        <x:f>'Модель 36м'!AC20*$C$15+AC72+'Допущения'!$D$20+'Допущения'!$D$23+'Допущения'!$D$24</x:f>
        <x:v>5617650</x:v>
      </x:c>
      <x:c r="AD73" s="55" t="n">
        <x:f>'Модель 36м'!AD20*$C$15+AD72+'Допущения'!$D$20+'Допущения'!$D$23+'Допущения'!$D$24</x:f>
        <x:v>5617650</x:v>
      </x:c>
      <x:c r="AE73" s="55" t="n">
        <x:f>'Модель 36м'!AE20*$C$15+AE72+'Допущения'!$D$20+'Допущения'!$D$23+'Допущения'!$D$24</x:f>
        <x:v>5617650</x:v>
      </x:c>
      <x:c r="AF73" s="55" t="n">
        <x:f>'Модель 36м'!AF20*$C$15+AF72+'Допущения'!$D$20+'Допущения'!$D$23+'Допущения'!$D$24</x:f>
        <x:v>5617650</x:v>
      </x:c>
      <x:c r="AG73" s="55" t="n">
        <x:f>'Модель 36м'!AG20*$C$15+AG72+'Допущения'!$D$20+'Допущения'!$D$23+'Допущения'!$D$24</x:f>
        <x:v>5617650</x:v>
      </x:c>
      <x:c r="AH73" s="55" t="n">
        <x:f>'Модель 36м'!AH20*$C$15+AH72+'Допущения'!$D$20+'Допущения'!$D$23+'Допущения'!$D$24</x:f>
        <x:v>5985150</x:v>
      </x:c>
      <x:c r="AI73" s="55" t="n">
        <x:f>'Модель 36м'!AI20*$C$15+AI72+'Допущения'!$D$20+'Допущения'!$D$23+'Допущения'!$D$24</x:f>
        <x:v>5985150</x:v>
      </x:c>
      <x:c r="AJ73" s="55" t="n">
        <x:f>'Модель 36м'!AJ20*$C$15+AJ72+'Допущения'!$D$20+'Допущения'!$D$23+'Допущения'!$D$24</x:f>
        <x:v>5985150</x:v>
      </x:c>
      <x:c r="AK73" s="55" t="n">
        <x:f>'Модель 36м'!AK20*$C$15+AK72+'Допущения'!$D$20+'Допущения'!$D$23+'Допущения'!$D$24</x:f>
        <x:v>5985150</x:v>
      </x:c>
    </x:row>
    <x:row r="74">
      <x:c r="A74" s="32" t="str">
        <x:v>EBITDA, ₽</x:v>
      </x:c>
      <x:c r="B74" s="55" t="n">
        <x:f>B71-B73</x:f>
        <x:v>-2667440</x:v>
      </x:c>
      <x:c r="C74" s="55" t="n">
        <x:f>C71-C73</x:f>
        <x:v>-2299528.0999999996</x:v>
      </x:c>
      <x:c r="D74" s="55" t="n">
        <x:f>D71-D73</x:f>
        <x:v>-2126329.7284999993</x:v>
      </x:c>
      <x:c r="E74" s="55" t="n">
        <x:f>E71-E73</x:f>
        <x:v>-2157333.3325725</x:v>
      </x:c>
      <x:c r="F74" s="55" t="n">
        <x:f>F71-F73</x:f>
        <x:v>-1930975.9925839126</x:v>
      </x:c>
      <x:c r="G74" s="55" t="n">
        <x:f>G71-G73</x:f>
        <x:v>-1708014.0126951542</x:v>
      </x:c>
      <x:c r="H74" s="55" t="n">
        <x:f>H71-H73</x:f>
        <x:v>-1731154.062504727</x:v>
      </x:c>
      <x:c r="I74" s="55" t="n">
        <x:f>I71-I73</x:f>
        <x:v>-1456514.825567156</x:v>
      </x:c>
      <x:c r="J74" s="55" t="n">
        <x:f>J71-J73</x:f>
        <x:v>-1185995.1771836472</x:v>
      </x:c>
      <x:c r="K74" s="55" t="n">
        <x:f>K71-K73</x:f>
        <x:v>-1381459.5955258934</x:v>
      </x:c>
      <x:c r="L74" s="55" t="n">
        <x:f>L71-L73</x:f>
        <x:v>-1118994.6696730051</x:v>
      </x:c>
      <x:c r="M74" s="55" t="n">
        <x:f>M71-M73</x:f>
        <x:v>-860466.7177079096</x:v>
      </x:c>
      <x:c r="N74" s="55" t="n">
        <x:f>N71-N73</x:f>
        <x:v>-432672.8637102898</x:v>
      </x:c>
      <x:c r="O74" s="55" t="n">
        <x:f>O71-O73</x:f>
        <x:v>-123526.63151495624</x:v>
      </x:c>
      <x:c r="P74" s="55" t="n">
        <x:f>P71-P73</x:f>
        <x:v>180982.40719744936</x:v>
      </x:c>
      <x:c r="Q74" s="55" t="n">
        <x:f>Q71-Q73</x:f>
        <x:v>544986.5343842078</x:v>
      </x:c>
      <x:c r="R74" s="55" t="n">
        <x:f>R71-R73</x:f>
        <x:v>840428.8164689504</x:v>
      </x:c>
      <x:c r="S74" s="55" t="n">
        <x:f>S71-S73</x:f>
        <x:v>1131439.4643224217</x:v>
      </x:c>
      <x:c r="T74" s="55" t="n">
        <x:f>T71-T73</x:f>
        <x:v>1477022.658588728</x:v>
      </x:c>
      <x:c r="U74" s="55" t="n">
        <x:f>U71-U73</x:f>
        <x:v>1759368.4644023627</x:v>
      </x:c>
      <x:c r="V74" s="55" t="n">
        <x:f>V71-V73</x:f>
        <x:v>1774979.0831287913</x:v>
      </x:c>
      <x:c r="W74" s="55" t="n">
        <x:f>W71-W73</x:f>
        <x:v>2103140.7322145104</x:v>
      </x:c>
      <x:c r="X74" s="55" t="n">
        <x:f>X71-X73</x:f>
        <x:v>2372970.6072683623</x:v>
      </x:c>
      <x:c r="Y74" s="55" t="n">
        <x:f>Y71-Y73</x:f>
        <x:v>2638753.034196404</x:v>
      </x:c>
      <x:c r="Z74" s="55" t="n">
        <x:f>Z71-Z73</x:f>
        <x:v>3937152.894927386</x:v>
      </x:c>
      <x:c r="AA74" s="55" t="n">
        <x:f>AA71-AA73</x:f>
        <x:v>4428285.450093647</x:v>
      </x:c>
      <x:c r="AB74" s="55" t="n">
        <x:f>AB71-AB73</x:f>
        <x:v>4912051.016932413</x:v>
      </x:c>
      <x:c r="AC74" s="55" t="n">
        <x:f>AC71-AC73</x:f>
        <x:v>5465050.241121022</x:v>
      </x:c>
      <x:c r="AD74" s="55" t="n">
        <x:f>AD71-AD73</x:f>
        <x:v>5934411.688207163</x:v>
      </x:c>
      <x:c r="AE74" s="55" t="n">
        <x:f>AE71-AE73</x:f>
        <x:v>6396732.713587014</x:v>
      </x:c>
      <x:c r="AF74" s="55" t="n">
        <x:f>AF71-AF73</x:f>
        <x:v>6922489.853170397</x:v>
      </x:c>
      <x:c r="AG74" s="55" t="n">
        <x:f>AG71-AG73</x:f>
        <x:v>7371045.270019557</x:v>
      </x:c>
      <x:c r="AH74" s="55" t="n">
        <x:f>AH71-AH73</x:f>
        <x:v>7445372.3556159865</x:v>
      </x:c>
      <x:c r="AI74" s="55" t="n">
        <x:f>AI71-AI73</x:f>
        <x:v>7945313.290145956</x:v>
      </x:c>
      <x:c r="AJ74" s="55" t="n">
        <x:f>AJ71-AJ73</x:f>
        <x:v>8373984.974268749</x:v>
      </x:c>
      <x:c r="AK74" s="55" t="n">
        <x:f>AK71-AK73</x:f>
        <x:v>8796226.583129704</x:v>
      </x:c>
    </x:row>
    <x:row r="75">
      <x:c r="A75" s="32" t="str">
        <x:v>Условный налог, ₽</x:v>
      </x:c>
      <x:c r="B75" s="55" t="n">
        <x:f>MAX(0,B74*$C$14)</x:f>
        <x:v>0</x:v>
      </x:c>
      <x:c r="C75" s="55" t="n">
        <x:f>MAX(0,C74*$C$14)</x:f>
        <x:v>0</x:v>
      </x:c>
      <x:c r="D75" s="55" t="n">
        <x:f>MAX(0,D74*$C$14)</x:f>
        <x:v>0</x:v>
      </x:c>
      <x:c r="E75" s="55" t="n">
        <x:f>MAX(0,E74*$C$14)</x:f>
        <x:v>0</x:v>
      </x:c>
      <x:c r="F75" s="55" t="n">
        <x:f>MAX(0,F74*$C$14)</x:f>
        <x:v>0</x:v>
      </x:c>
      <x:c r="G75" s="55" t="n">
        <x:f>MAX(0,G74*$C$14)</x:f>
        <x:v>0</x:v>
      </x:c>
      <x:c r="H75" s="55" t="n">
        <x:f>MAX(0,H74*$C$14)</x:f>
        <x:v>0</x:v>
      </x:c>
      <x:c r="I75" s="55" t="n">
        <x:f>MAX(0,I74*$C$14)</x:f>
        <x:v>0</x:v>
      </x:c>
      <x:c r="J75" s="55" t="n">
        <x:f>MAX(0,J74*$C$14)</x:f>
        <x:v>0</x:v>
      </x:c>
      <x:c r="K75" s="55" t="n">
        <x:f>MAX(0,K74*$C$14)</x:f>
        <x:v>0</x:v>
      </x:c>
      <x:c r="L75" s="55" t="n">
        <x:f>MAX(0,L74*$C$14)</x:f>
        <x:v>0</x:v>
      </x:c>
      <x:c r="M75" s="55" t="n">
        <x:f>MAX(0,M74*$C$14)</x:f>
        <x:v>0</x:v>
      </x:c>
      <x:c r="N75" s="55" t="n">
        <x:f>MAX(0,N74*$C$14)</x:f>
        <x:v>0</x:v>
      </x:c>
      <x:c r="O75" s="55" t="n">
        <x:f>MAX(0,O74*$C$14)</x:f>
        <x:v>0</x:v>
      </x:c>
      <x:c r="P75" s="55" t="n">
        <x:f>MAX(0,P74*$C$14)</x:f>
        <x:v>18098.240719744936</x:v>
      </x:c>
      <x:c r="Q75" s="55" t="n">
        <x:f>MAX(0,Q74*$C$14)</x:f>
        <x:v>54498.653438420784</x:v>
      </x:c>
      <x:c r="R75" s="55" t="n">
        <x:f>MAX(0,R74*$C$14)</x:f>
        <x:v>84042.88164689504</x:v>
      </x:c>
      <x:c r="S75" s="55" t="n">
        <x:f>MAX(0,S74*$C$14)</x:f>
        <x:v>113143.94643224217</x:v>
      </x:c>
      <x:c r="T75" s="55" t="n">
        <x:f>MAX(0,T74*$C$14)</x:f>
        <x:v>147702.2658588728</x:v>
      </x:c>
      <x:c r="U75" s="55" t="n">
        <x:f>MAX(0,U74*$C$14)</x:f>
        <x:v>175936.8464402363</x:v>
      </x:c>
      <x:c r="V75" s="55" t="n">
        <x:f>MAX(0,V74*$C$14)</x:f>
        <x:v>177497.90831287915</x:v>
      </x:c>
      <x:c r="W75" s="55" t="n">
        <x:f>MAX(0,W74*$C$14)</x:f>
        <x:v>210314.07322145105</x:v>
      </x:c>
      <x:c r="X75" s="55" t="n">
        <x:f>MAX(0,X74*$C$14)</x:f>
        <x:v>237297.06072683624</x:v>
      </x:c>
      <x:c r="Y75" s="55" t="n">
        <x:f>MAX(0,Y74*$C$14)</x:f>
        <x:v>263875.3034196404</x:v>
      </x:c>
      <x:c r="Z75" s="55" t="n">
        <x:f>MAX(0,Z74*$C$14)</x:f>
        <x:v>393715.28949273867</x:v>
      </x:c>
      <x:c r="AA75" s="55" t="n">
        <x:f>MAX(0,AA74*$C$14)</x:f>
        <x:v>442828.5450093648</x:v>
      </x:c>
      <x:c r="AB75" s="55" t="n">
        <x:f>MAX(0,AB74*$C$14)</x:f>
        <x:v>491205.10169324133</x:v>
      </x:c>
      <x:c r="AC75" s="55" t="n">
        <x:f>MAX(0,AC74*$C$14)</x:f>
        <x:v>546505.0241121022</x:v>
      </x:c>
      <x:c r="AD75" s="55" t="n">
        <x:f>MAX(0,AD74*$C$14)</x:f>
        <x:v>593441.1688207163</x:v>
      </x:c>
      <x:c r="AE75" s="55" t="n">
        <x:f>MAX(0,AE74*$C$14)</x:f>
        <x:v>639673.2713587014</x:v>
      </x:c>
      <x:c r="AF75" s="55" t="n">
        <x:f>MAX(0,AF74*$C$14)</x:f>
        <x:v>692248.9853170398</x:v>
      </x:c>
      <x:c r="AG75" s="55" t="n">
        <x:f>MAX(0,AG74*$C$14)</x:f>
        <x:v>737104.5270019558</x:v>
      </x:c>
      <x:c r="AH75" s="55" t="n">
        <x:f>MAX(0,AH74*$C$14)</x:f>
        <x:v>744537.2355615987</x:v>
      </x:c>
      <x:c r="AI75" s="55" t="n">
        <x:f>MAX(0,AI74*$C$14)</x:f>
        <x:v>794531.3290145956</x:v>
      </x:c>
      <x:c r="AJ75" s="55" t="n">
        <x:f>MAX(0,AJ74*$C$14)</x:f>
        <x:v>837398.4974268749</x:v>
      </x:c>
      <x:c r="AK75" s="55" t="n">
        <x:f>MAX(0,AK74*$C$14)</x:f>
        <x:v>879622.6583129704</x:v>
      </x:c>
    </x:row>
    <x:row r="76">
      <x:c r="A76" s="32" t="str">
        <x:v>Денежные поступления, ₽</x:v>
      </x:c>
      <x:c r="B76" s="55" t="n">
        <x:f>IF($C$12=0,B67,IF($C$12=1,0,0))</x:f>
        <x:v>0</x:v>
      </x:c>
      <x:c r="C76" s="55" t="n">
        <x:f>IF($C$12=0,C67,IF($C$12=1,B67,0))</x:f>
        <x:v>1199137.5</x:v>
      </x:c>
      <x:c r="D76" s="55" t="n">
        <x:f>IF($C$12=0,D67,IF($C$12=1,C67,B67))</x:f>
        <x:v>1942602.7500000005</x:v>
      </x:c>
      <x:c r="E76" s="55" t="n">
        <x:f>IF($C$12=0,E67,IF($C$12=1,D67,C67))</x:f>
        <x:v>2156289.0525000007</x:v>
      </x:c>
      <x:c r="F76" s="55" t="n">
        <x:f>IF($C$12=0,F67,IF($C$12=1,E67,D67))</x:f>
        <x:v>2966338.8104625</x:v>
      </x:c>
      <x:c r="G76" s="55" t="n">
        <x:f>IF($C$12=0,G67,IF($C$12=1,F67,E67))</x:f>
        <x:v>3245610.8533055624</x:v>
      </x:c>
      <x:c r="H76" s="55" t="n">
        <x:f>IF($C$12=0,H67,IF($C$12=1,G67,F67))</x:f>
        <x:v>3520693.8155059787</x:v>
      </x:c>
      <x:c r="I76" s="55" t="n">
        <x:f>IF($C$12=0,I67,IF($C$12=1,H67,G67))</x:f>
        <x:v>4391219.28327339</x:v>
      </x:c>
      <x:c r="J76" s="55" t="n">
        <x:f>IF($C$12=0,J67,IF($C$12=1,I67,H67))</x:f>
        <x:v>4730059.900274289</x:v>
      </x:c>
      <x:c r="K76" s="55" t="n">
        <x:f>IF($C$12=0,K67,IF($C$12=1,J67,I67))</x:f>
        <x:v>5063817.908020175</x:v>
      </x:c>
      <x:c r="L76" s="55" t="n">
        <x:f>IF($C$12=0,L67,IF($C$12=1,K67,J67))</x:f>
        <x:v>5392569.545649872</x:v>
      </x:c>
      <x:c r="M76" s="55" t="n">
        <x:f>IF($C$12=0,M67,IF($C$12=1,L67,K67))</x:f>
        <x:v>5716389.908715124</x:v>
      </x:c>
      <x:c r="N76" s="55" t="n">
        <x:f>IF($C$12=0,N67,IF($C$12=1,M67,L67))</x:f>
        <x:v>6035352.966334397</x:v>
      </x:c>
      <x:c r="O76" s="55" t="n">
        <x:f>IF($C$12=0,O67,IF($C$12=1,N67,M67))</x:f>
        <x:v>6949100.3280893825</x:v>
      </x:c>
      <x:c r="P76" s="55" t="n">
        <x:f>IF($C$12=0,P67,IF($C$12=1,O67,N67))</x:f>
        <x:v>7330514.510668041</x:v>
      </x:c>
      <x:c r="Q76" s="55" t="n">
        <x:f>IF($C$12=0,Q67,IF($C$12=1,P67,O67))</x:f>
        <x:v>7706207.480508022</x:v>
      </x:c>
      <x:c r="R76" s="55" t="n">
        <x:f>IF($C$12=0,R67,IF($C$12=1,Q67,P67))</x:f>
        <x:v>8076265.055800402</x:v>
      </x:c>
      <x:c r="S76" s="55" t="n">
        <x:f>IF($C$12=0,S67,IF($C$12=1,R67,Q67))</x:f>
        <x:v>8440771.767463395</x:v>
      </x:c>
      <x:c r="T76" s="55" t="n">
        <x:f>IF($C$12=0,T67,IF($C$12=1,S67,R67))</x:f>
        <x:v>8799810.878451444</x:v>
      </x:c>
      <x:c r="U76" s="55" t="n">
        <x:f>IF($C$12=0,U67,IF($C$12=1,T67,S67))</x:f>
        <x:v>9153464.402774673</x:v>
      </x:c>
      <x:c r="V76" s="55" t="n">
        <x:f>IF($C$12=0,V67,IF($C$12=1,U67,T67))</x:f>
        <x:v>9501813.124233054</x:v>
      </x:c>
      <x:c r="W76" s="55" t="n">
        <x:f>IF($C$12=0,W67,IF($C$12=1,V67,U67))</x:f>
        <x:v>9844936.614869557</x:v>
      </x:c>
      <x:c r="X76" s="55" t="n">
        <x:f>IF($C$12=0,X67,IF($C$12=1,W67,V67))</x:f>
        <x:v>10182913.253146514</x:v>
      </x:c>
      <x:c r="Y76" s="55" t="n">
        <x:f>IF($C$12=0,Y67,IF($C$12=1,X67,W67))</x:f>
        <x:v>10515820.241849318</x:v>
      </x:c>
      <x:c r="Z76" s="55" t="n">
        <x:f>IF($C$12=0,Z67,IF($C$12=1,Y67,X67))</x:f>
        <x:v>10843733.625721578</x:v>
      </x:c>
      <x:c r="AA76" s="55" t="n">
        <x:f>IF($C$12=0,AA67,IF($C$12=1,Z67,Y67))</x:f>
        <x:v>13565003.308835754</x:v>
      </x:c>
      <x:c r="AB76" s="55" t="n">
        <x:f>IF($C$12=0,AB67,IF($C$12=1,AA67,Z67))</x:f>
        <x:v>14170946.071703218</x:v>
      </x:c>
      <x:c r="AC76" s="55" t="n">
        <x:f>IF($C$12=0,AC67,IF($C$12=1,AB67,AA67))</x:f>
        <x:v>14767799.69312767</x:v>
      </x:c>
      <x:c r="AD76" s="55" t="n">
        <x:f>IF($C$12=0,AD67,IF($C$12=1,AC67,AB67))</x:f>
        <x:v>15355700.510230757</x:v>
      </x:c>
      <x:c r="AE76" s="55" t="n">
        <x:f>IF($C$12=0,AE67,IF($C$12=1,AD67,AC67))</x:f>
        <x:v>15934782.815077294</x:v>
      </x:c>
      <x:c r="AF76" s="55" t="n">
        <x:f>IF($C$12=0,AF67,IF($C$12=1,AE67,AD67))</x:f>
        <x:v>16505178.885351136</x:v>
      </x:c>
      <x:c r="AG76" s="55" t="n">
        <x:f>IF($C$12=0,AG67,IF($C$12=1,AF67,AE67))</x:f>
        <x:v>17067019.014570873</x:v>
      </x:c>
      <x:c r="AH76" s="55" t="n">
        <x:f>IF($C$12=0,AH67,IF($C$12=1,AG67,AF67))</x:f>
        <x:v>17620431.541852307</x:v>
      </x:c>
      <x:c r="AI76" s="55" t="n">
        <x:f>IF($C$12=0,AI67,IF($C$12=1,AH67,AG67))</x:f>
        <x:v>18165542.881224524</x:v>
      </x:c>
      <x:c r="AJ76" s="55" t="n">
        <x:f>IF($C$12=0,AJ67,IF($C$12=1,AI67,AH67))</x:f>
        <x:v>18702477.550506156</x:v>
      </x:c>
      <x:c r="AK76" s="55" t="n">
        <x:f>IF($C$12=0,AK67,IF($C$12=1,AJ67,AI67))</x:f>
        <x:v>19231358.199748565</x:v>
      </x:c>
    </x:row>
    <x:row r="77">
      <x:c r="A77" s="32" t="str">
        <x:v>Денежные выплаты, ₽</x:v>
      </x:c>
      <x:c r="B77" s="55" t="n">
        <x:f>B68+B69+B70+B73+B75</x:f>
        <x:v>3866577.5</x:v>
      </x:c>
      <x:c r="C77" s="55" t="n">
        <x:f>C68+C69+C70+C73+C75</x:f>
        <x:v>4242130.850000001</x:v>
      </x:c>
      <x:c r="D77" s="55" t="n">
        <x:f>D68+D69+D70+D73+D75</x:f>
        <x:v>4282618.781</x:v>
      </x:c>
      <x:c r="E77" s="55" t="n">
        <x:f>E68+E69+E70+E73+E75</x:f>
        <x:v>5123672.143035</x:v>
      </x:c>
      <x:c r="F77" s="55" t="n">
        <x:f>F68+F69+F70+F73+F75</x:f>
        <x:v>5176586.845889475</x:v>
      </x:c>
      <x:c r="G77" s="55" t="n">
        <x:f>G68+G69+G70+G73+G75</x:f>
        <x:v>5228707.828201133</x:v>
      </x:c>
      <x:c r="H77" s="55" t="n">
        <x:f>H68+H69+H70+H73+H75</x:f>
        <x:v>6122373.345778116</x:v>
      </x:c>
      <x:c r="I77" s="55" t="n">
        <x:f>I68+I69+I70+I73+I75</x:f>
        <x:v>6186574.725841444</x:v>
      </x:c>
      <x:c r="J77" s="55" t="n">
        <x:f>J68+J69+J70+J73+J75</x:f>
        <x:v>6249813.085203823</x:v>
      </x:c>
      <x:c r="K77" s="55" t="n">
        <x:f>K68+K69+K70+K73+K75</x:f>
        <x:v>6774029.141175766</x:v>
      </x:c>
      <x:c r="L77" s="55" t="n">
        <x:f>L68+L69+L70+L73+L75</x:f>
        <x:v>6835384.578388128</x:v>
      </x:c>
      <x:c r="M77" s="55" t="n">
        <x:f>M68+M69+M70+M73+M75</x:f>
        <x:v>6895819.684042307</x:v>
      </x:c>
      <x:c r="N77" s="55" t="n">
        <x:f>N68+N69+N70+N73+N75</x:f>
        <x:v>7381773.191799672</x:v>
      </x:c>
      <x:c r="O77" s="55" t="n">
        <x:f>O68+O69+O70+O73+O75</x:f>
        <x:v>7454041.142182997</x:v>
      </x:c>
      <x:c r="P77" s="55" t="n">
        <x:f>P68+P69+P70+P73+P75</x:f>
        <x:v>7543323.314030318</x:v>
      </x:c>
      <x:c r="Q77" s="55" t="n">
        <x:f>Q68+Q69+Q70+Q73+Q75</x:f>
        <x:v>7585777.174854616</x:v>
      </x:c>
      <x:c r="R77" s="55" t="n">
        <x:f>R68+R69+R70+R73+R75</x:f>
        <x:v>7684385.832641341</x:v>
      </x:c>
      <x:c r="S77" s="55" t="n">
        <x:f>S68+S69+S70+S73+S75</x:f>
        <x:v>7781515.360561266</x:v>
      </x:c>
      <x:c r="T77" s="55" t="n">
        <x:f>T68+T69+T70+T73+T75</x:f>
        <x:v>7824144.010044819</x:v>
      </x:c>
      <x:c r="U77" s="55" t="n">
        <x:f>U68+U69+U70+U73+U75</x:f>
        <x:v>7918381.506270928</x:v>
      </x:c>
      <x:c r="V77" s="55" t="n">
        <x:f>V68+V69+V70+V73+V75</x:f>
        <x:v>8247455.4400536455</x:v>
      </x:c>
      <x:c r="W77" s="55" t="n">
        <x:f>W68+W69+W70+W73+W75</x:f>
        <x:v>8290086.5941534545</x:v>
      </x:c>
      <x:c r="X77" s="55" t="n">
        <x:f>X68+X69+X70+X73+X75</x:f>
        <x:v>8380146.695307792</x:v>
      </x:c>
      <x:c r="Y77" s="55" t="n">
        <x:f>Y68+Y69+Y70+Y73+Y75</x:f>
        <x:v>8468855.894944815</x:v>
      </x:c>
      <x:c r="Z77" s="55" t="n">
        <x:f>Z68+Z69+Z70+Z73+Z75</x:f>
        <x:v>10021565.703401107</x:v>
      </x:c>
      <x:c r="AA77" s="55" t="n">
        <x:f>AA68+AA69+AA70+AA73+AA75</x:f>
        <x:v>10185489.166618938</x:v>
      </x:c>
      <x:c r="AB77" s="55" t="n">
        <x:f>AB68+AB69+AB70+AB73+AB75</x:f>
        <x:v>10346953.777888497</x:v>
      </x:c>
      <x:c r="AC77" s="55" t="n">
        <x:f>AC68+AC69+AC70+AC73+AC75</x:f>
        <x:v>10437155.293221839</x:v>
      </x:c>
      <x:c r="AD77" s="55" t="n">
        <x:f>AD68+AD69+AD70+AD73+AD75</x:f>
        <x:v>10593812.29569085</x:v>
      </x:c>
      <x:c r="AE77" s="55" t="n">
        <x:f>AE68+AE69+AE70+AE73+AE75</x:f>
        <x:v>10748119.443122827</x:v>
      </x:c>
      <x:c r="AF77" s="55" t="n">
        <x:f>AF68+AF69+AF70+AF73+AF75</x:f>
        <x:v>10836778.146717517</x:v>
      </x:c>
      <x:c r="AG77" s="55" t="n">
        <x:f>AG68+AG69+AG70+AG73+AG75</x:f>
        <x:v>10986490.798834706</x:v>
      </x:c>
      <x:c r="AH77" s="55" t="n">
        <x:f>AH68+AH69+AH70+AH73+AH75</x:f>
        <x:v>11464707.761170136</x:v>
      </x:c>
      <x:c r="AI77" s="55" t="n">
        <x:f>AI68+AI69+AI70+AI73+AI75</x:f>
        <x:v>11551695.589374794</x:v>
      </x:c>
      <x:c r="AJ77" s="55" t="n">
        <x:f>AJ68+AJ69+AJ70+AJ73+AJ75</x:f>
        <x:v>11694771.722906688</x:v>
      </x:c>
      <x:c r="AK77" s="55" t="n">
        <x:f>AK68+AK69+AK70+AK73+AK75</x:f>
        <x:v>11835701.714435603</x:v>
      </x:c>
    </x:row>
    <x:row r="78">
      <x:c r="A78" s="32" t="str">
        <x:v>Инвестиции / финансирование, ₽</x:v>
      </x:c>
      <x:c r="B78" s="55" t="n">
        <x:f>'Допущения'!$D$15</x:f>
        <x:v>15000000</x:v>
      </x:c>
      <x:c r="C78" s="55" t="n">
        <x:f>0</x:f>
        <x:v>0</x:v>
      </x:c>
      <x:c r="D78" s="55" t="n">
        <x:f>0</x:f>
        <x:v>0</x:v>
      </x:c>
      <x:c r="E78" s="55" t="n">
        <x:f>0</x:f>
        <x:v>0</x:v>
      </x:c>
      <x:c r="F78" s="55" t="n">
        <x:f>0</x:f>
        <x:v>0</x:v>
      </x:c>
      <x:c r="G78" s="55" t="n">
        <x:f>0</x:f>
        <x:v>0</x:v>
      </x:c>
      <x:c r="H78" s="55" t="n">
        <x:f>0</x:f>
        <x:v>0</x:v>
      </x:c>
      <x:c r="I78" s="55" t="n">
        <x:f>0</x:f>
        <x:v>0</x:v>
      </x:c>
      <x:c r="J78" s="55" t="n">
        <x:f>0</x:f>
        <x:v>0</x:v>
      </x:c>
      <x:c r="K78" s="55" t="n">
        <x:f>0</x:f>
        <x:v>0</x:v>
      </x:c>
      <x:c r="L78" s="55" t="n">
        <x:f>0</x:f>
        <x:v>0</x:v>
      </x:c>
      <x:c r="M78" s="55" t="n">
        <x:f>0</x:f>
        <x:v>0</x:v>
      </x:c>
      <x:c r="N78" s="55" t="n">
        <x:f>0</x:f>
        <x:v>0</x:v>
      </x:c>
      <x:c r="O78" s="55" t="n">
        <x:f>0</x:f>
        <x:v>0</x:v>
      </x:c>
      <x:c r="P78" s="55" t="n">
        <x:f>0</x:f>
        <x:v>0</x:v>
      </x:c>
      <x:c r="Q78" s="55" t="n">
        <x:f>0</x:f>
        <x:v>0</x:v>
      </x:c>
      <x:c r="R78" s="55" t="n">
        <x:f>0</x:f>
        <x:v>0</x:v>
      </x:c>
      <x:c r="S78" s="55" t="n">
        <x:f>0</x:f>
        <x:v>0</x:v>
      </x:c>
      <x:c r="T78" s="55" t="n">
        <x:f>0</x:f>
        <x:v>0</x:v>
      </x:c>
      <x:c r="U78" s="55" t="n">
        <x:f>0</x:f>
        <x:v>0</x:v>
      </x:c>
      <x:c r="V78" s="55" t="n">
        <x:f>0</x:f>
        <x:v>0</x:v>
      </x:c>
      <x:c r="W78" s="55" t="n">
        <x:f>0</x:f>
        <x:v>0</x:v>
      </x:c>
      <x:c r="X78" s="55" t="n">
        <x:f>0</x:f>
        <x:v>0</x:v>
      </x:c>
      <x:c r="Y78" s="55" t="n">
        <x:f>0</x:f>
        <x:v>0</x:v>
      </x:c>
      <x:c r="Z78" s="55" t="n">
        <x:f>0</x:f>
        <x:v>0</x:v>
      </x:c>
      <x:c r="AA78" s="55" t="n">
        <x:f>0</x:f>
        <x:v>0</x:v>
      </x:c>
      <x:c r="AB78" s="55" t="n">
        <x:f>0</x:f>
        <x:v>0</x:v>
      </x:c>
      <x:c r="AC78" s="55" t="n">
        <x:f>0</x:f>
        <x:v>0</x:v>
      </x:c>
      <x:c r="AD78" s="55" t="n">
        <x:f>0</x:f>
        <x:v>0</x:v>
      </x:c>
      <x:c r="AE78" s="55" t="n">
        <x:f>0</x:f>
        <x:v>0</x:v>
      </x:c>
      <x:c r="AF78" s="55" t="n">
        <x:f>0</x:f>
        <x:v>0</x:v>
      </x:c>
      <x:c r="AG78" s="55" t="n">
        <x:f>0</x:f>
        <x:v>0</x:v>
      </x:c>
      <x:c r="AH78" s="55" t="n">
        <x:f>0</x:f>
        <x:v>0</x:v>
      </x:c>
      <x:c r="AI78" s="55" t="n">
        <x:f>0</x:f>
        <x:v>0</x:v>
      </x:c>
      <x:c r="AJ78" s="55" t="n">
        <x:f>0</x:f>
        <x:v>0</x:v>
      </x:c>
      <x:c r="AK78" s="55" t="n">
        <x:f>0</x:f>
        <x:v>0</x:v>
      </x:c>
    </x:row>
    <x:row r="79">
      <x:c r="A79" s="32" t="str">
        <x:v>Денежные средства на конец месяца, ₽</x:v>
      </x:c>
      <x:c r="B79" s="55" t="n">
        <x:f>B76-B77+B78</x:f>
        <x:v>11133422.5</x:v>
      </x:c>
      <x:c r="C79" s="55" t="n">
        <x:f>B79+C76-C77+C78</x:f>
        <x:v>8090429.149999999</x:v>
      </x:c>
      <x:c r="D79" s="55" t="n">
        <x:f>C79+D76-D77+D78</x:f>
        <x:v>5750413.119</x:v>
      </x:c>
      <x:c r="E79" s="55" t="n">
        <x:f>D79+E76-E77+E78</x:f>
        <x:v>2783030.028465001</x:v>
      </x:c>
      <x:c r="F79" s="55" t="n">
        <x:f>E79+F76-F77+F78</x:f>
        <x:v>572781.9930380257</x:v>
      </x:c>
      <x:c r="G79" s="55" t="n">
        <x:f>F79+G76-G77+G78</x:f>
        <x:v>-1410314.9818575447</x:v>
      </x:c>
      <x:c r="H79" s="55" t="n">
        <x:f>G79+H76-H77+H78</x:f>
        <x:v>-4011994.512129682</x:v>
      </x:c>
      <x:c r="I79" s="55" t="n">
        <x:f>H79+I76-I77+I78</x:f>
        <x:v>-5807349.954697737</x:v>
      </x:c>
      <x:c r="J79" s="55" t="n">
        <x:f>I79+J76-J77+J78</x:f>
        <x:v>-7327103.13962727</x:v>
      </x:c>
      <x:c r="K79" s="55" t="n">
        <x:f>J79+K76-K77+K78</x:f>
        <x:v>-9037314.37278286</x:v>
      </x:c>
      <x:c r="L79" s="55" t="n">
        <x:f>K79+L76-L77+L78</x:f>
        <x:v>-10480129.405521117</x:v>
      </x:c>
      <x:c r="M79" s="55" t="n">
        <x:f>L79+M76-M77+M78</x:f>
        <x:v>-11659559.1808483</x:v>
      </x:c>
      <x:c r="N79" s="55" t="n">
        <x:f>M79+N76-N77+N78</x:f>
        <x:v>-13005979.406313576</x:v>
      </x:c>
      <x:c r="O79" s="55" t="n">
        <x:f>N79+O76-O77+O78</x:f>
        <x:v>-13510920.220407192</x:v>
      </x:c>
      <x:c r="P79" s="55" t="n">
        <x:f>O79+P76-P77+P78</x:f>
        <x:v>-13723729.023769468</x:v>
      </x:c>
      <x:c r="Q79" s="55" t="n">
        <x:f>P79+Q76-Q77+Q78</x:f>
        <x:v>-13603298.718116062</x:v>
      </x:c>
      <x:c r="R79" s="55" t="n">
        <x:f>Q79+R76-R77+R78</x:f>
        <x:v>-13211419.494957</x:v>
      </x:c>
      <x:c r="S79" s="55" t="n">
        <x:f>R79+S76-S77+S78</x:f>
        <x:v>-12552163.08805487</x:v>
      </x:c>
      <x:c r="T79" s="55" t="n">
        <x:f>S79+T76-T77+T78</x:f>
        <x:v>-11576496.219648244</x:v>
      </x:c>
      <x:c r="U79" s="55" t="n">
        <x:f>T79+U76-U77+U78</x:f>
        <x:v>-10341413.3231445</x:v>
      </x:c>
      <x:c r="V79" s="55" t="n">
        <x:f>U79+V76-V77+V78</x:f>
        <x:v>-9087055.63896509</x:v>
      </x:c>
      <x:c r="W79" s="55" t="n">
        <x:f>V79+W76-W77+W78</x:f>
        <x:v>-7532205.618248988</x:v>
      </x:c>
      <x:c r="X79" s="55" t="n">
        <x:f>W79+X76-X77+X78</x:f>
        <x:v>-5729439.060410266</x:v>
      </x:c>
      <x:c r="Y79" s="55" t="n">
        <x:f>X79+Y76-Y77+Y78</x:f>
        <x:v>-3682474.7135057626</x:v>
      </x:c>
      <x:c r="Z79" s="55" t="n">
        <x:f>Y79+Z76-Z77+Z78</x:f>
        <x:v>-2860306.7911852924</x:v>
      </x:c>
      <x:c r="AA79" s="55" t="n">
        <x:f>Z79+AA76-AA77+AA78</x:f>
        <x:v>519207.35103152506</x:v>
      </x:c>
      <x:c r="AB79" s="55" t="n">
        <x:f>AA79+AB76-AB77+AB78</x:f>
        <x:v>4343199.644846246</x:v>
      </x:c>
      <x:c r="AC79" s="55" t="n">
        <x:f>AB79+AC76-AC77+AC78</x:f>
        <x:v>8673844.044752076</x:v>
      </x:c>
      <x:c r="AD79" s="55" t="n">
        <x:f>AC79+AD76-AD77+AD78</x:f>
        <x:v>13435732.259291984</x:v>
      </x:c>
      <x:c r="AE79" s="55" t="n">
        <x:f>AD79+AE76-AE77+AE78</x:f>
        <x:v>18622395.63124645</x:v>
      </x:c>
      <x:c r="AF79" s="55" t="n">
        <x:f>AE79+AF76-AF77+AF78</x:f>
        <x:v>24290796.369880065</x:v>
      </x:c>
      <x:c r="AG79" s="55" t="n">
        <x:f>AF79+AG76-AG77+AG78</x:f>
        <x:v>30371324.58561624</x:v>
      </x:c>
      <x:c r="AH79" s="55" t="n">
        <x:f>AG79+AH76-AH77+AH78</x:f>
        <x:v>36527048.36629841</x:v>
      </x:c>
      <x:c r="AI79" s="55" t="n">
        <x:f>AH79+AI76-AI77+AI78</x:f>
        <x:v>43140895.65814814</x:v>
      </x:c>
      <x:c r="AJ79" s="55" t="n">
        <x:f>AI79+AJ76-AJ77+AJ78</x:f>
        <x:v>50148601.48574761</x:v>
      </x:c>
      <x:c r="AK79" s="55" t="n">
        <x:f>AJ79+AK76-AK77+AK78</x:f>
        <x:v>57544257.971060574</x:v>
      </x:c>
    </x:row>
    <x:row r="80">
      <x:c r="A80" s="32" t="str">
        <x:v>Ниже резерва?</x:v>
      </x:c>
      <x:c r="B80" t="n">
        <x:f>IF(B79&lt;'Допущения'!$D$26,1,0)</x:f>
        <x:v>0</x:v>
      </x:c>
      <x:c r="C80" t="n">
        <x:f>IF(C79&lt;'Допущения'!$D$26,1,0)</x:f>
        <x:v>0</x:v>
      </x:c>
      <x:c r="D80" t="n">
        <x:f>IF(D79&lt;'Допущения'!$D$26,1,0)</x:f>
        <x:v>0</x:v>
      </x:c>
      <x:c r="E80" t="n">
        <x:f>IF(E79&lt;'Допущения'!$D$26,1,0)</x:f>
        <x:v>1</x:v>
      </x:c>
      <x:c r="F80" t="n">
        <x:f>IF(F79&lt;'Допущения'!$D$26,1,0)</x:f>
        <x:v>1</x:v>
      </x:c>
      <x:c r="G80" t="n">
        <x:f>IF(G79&lt;'Допущения'!$D$26,1,0)</x:f>
        <x:v>1</x:v>
      </x:c>
      <x:c r="H80" t="n">
        <x:f>IF(H79&lt;'Допущения'!$D$26,1,0)</x:f>
        <x:v>1</x:v>
      </x:c>
      <x:c r="I80" t="n">
        <x:f>IF(I79&lt;'Допущения'!$D$26,1,0)</x:f>
        <x:v>1</x:v>
      </x:c>
      <x:c r="J80" t="n">
        <x:f>IF(J79&lt;'Допущения'!$D$26,1,0)</x:f>
        <x:v>1</x:v>
      </x:c>
      <x:c r="K80" t="n">
        <x:f>IF(K79&lt;'Допущения'!$D$26,1,0)</x:f>
        <x:v>1</x:v>
      </x:c>
      <x:c r="L80" t="n">
        <x:f>IF(L79&lt;'Допущения'!$D$26,1,0)</x:f>
        <x:v>1</x:v>
      </x:c>
      <x:c r="M80" t="n">
        <x:f>IF(M79&lt;'Допущения'!$D$26,1,0)</x:f>
        <x:v>1</x:v>
      </x:c>
      <x:c r="N80" t="n">
        <x:f>IF(N79&lt;'Допущения'!$D$26,1,0)</x:f>
        <x:v>1</x:v>
      </x:c>
      <x:c r="O80" t="n">
        <x:f>IF(O79&lt;'Допущения'!$D$26,1,0)</x:f>
        <x:v>1</x:v>
      </x:c>
      <x:c r="P80" t="n">
        <x:f>IF(P79&lt;'Допущения'!$D$26,1,0)</x:f>
        <x:v>1</x:v>
      </x:c>
      <x:c r="Q80" t="n">
        <x:f>IF(Q79&lt;'Допущения'!$D$26,1,0)</x:f>
        <x:v>1</x:v>
      </x:c>
      <x:c r="R80" t="n">
        <x:f>IF(R79&lt;'Допущения'!$D$26,1,0)</x:f>
        <x:v>1</x:v>
      </x:c>
      <x:c r="S80" t="n">
        <x:f>IF(S79&lt;'Допущения'!$D$26,1,0)</x:f>
        <x:v>1</x:v>
      </x:c>
      <x:c r="T80" t="n">
        <x:f>IF(T79&lt;'Допущения'!$D$26,1,0)</x:f>
        <x:v>1</x:v>
      </x:c>
      <x:c r="U80" t="n">
        <x:f>IF(U79&lt;'Допущения'!$D$26,1,0)</x:f>
        <x:v>1</x:v>
      </x:c>
      <x:c r="V80" t="n">
        <x:f>IF(V79&lt;'Допущения'!$D$26,1,0)</x:f>
        <x:v>1</x:v>
      </x:c>
      <x:c r="W80" t="n">
        <x:f>IF(W79&lt;'Допущения'!$D$26,1,0)</x:f>
        <x:v>1</x:v>
      </x:c>
      <x:c r="X80" t="n">
        <x:f>IF(X79&lt;'Допущения'!$D$26,1,0)</x:f>
        <x:v>1</x:v>
      </x:c>
      <x:c r="Y80" t="n">
        <x:f>IF(Y79&lt;'Допущения'!$D$26,1,0)</x:f>
        <x:v>1</x:v>
      </x:c>
      <x:c r="Z80" t="n">
        <x:f>IF(Z79&lt;'Допущения'!$D$26,1,0)</x:f>
        <x:v>1</x:v>
      </x:c>
      <x:c r="AA80" t="n">
        <x:f>IF(AA79&lt;'Допущения'!$D$26,1,0)</x:f>
        <x:v>1</x:v>
      </x:c>
      <x:c r="AB80" t="n">
        <x:f>IF(AB79&lt;'Допущения'!$D$26,1,0)</x:f>
        <x:v>0</x:v>
      </x:c>
      <x:c r="AC80" t="n">
        <x:f>IF(AC79&lt;'Допущения'!$D$26,1,0)</x:f>
        <x:v>0</x:v>
      </x:c>
      <x:c r="AD80" t="n">
        <x:f>IF(AD79&lt;'Допущения'!$D$26,1,0)</x:f>
        <x:v>0</x:v>
      </x:c>
      <x:c r="AE80" t="n">
        <x:f>IF(AE79&lt;'Допущения'!$D$26,1,0)</x:f>
        <x:v>0</x:v>
      </x:c>
      <x:c r="AF80" t="n">
        <x:f>IF(AF79&lt;'Допущения'!$D$26,1,0)</x:f>
        <x:v>0</x:v>
      </x:c>
      <x:c r="AG80" t="n">
        <x:f>IF(AG79&lt;'Допущения'!$D$26,1,0)</x:f>
        <x:v>0</x:v>
      </x:c>
      <x:c r="AH80" t="n">
        <x:f>IF(AH79&lt;'Допущения'!$D$26,1,0)</x:f>
        <x:v>0</x:v>
      </x:c>
      <x:c r="AI80" t="n">
        <x:f>IF(AI79&lt;'Допущения'!$D$26,1,0)</x:f>
        <x:v>0</x:v>
      </x:c>
      <x:c r="AJ80" t="n">
        <x:f>IF(AJ79&lt;'Допущения'!$D$26,1,0)</x:f>
        <x:v>0</x:v>
      </x:c>
      <x:c r="AK80" t="n">
        <x:f>IF(AK79&lt;'Допущения'!$D$26,1,0)</x:f>
        <x:v>0</x:v>
      </x:c>
    </x:row>
    <x:row r="81">
      <x:c r="A81" s="32" t="str">
        <x:v>Первый месяц ниже резерва</x:v>
      </x:c>
      <x:c r="B81" t="n">
        <x:f>IF(B80=1,1,0)</x:f>
        <x:v>0</x:v>
      </x:c>
      <x:c r="C81" t="n">
        <x:f>IF(B81&gt;0,B81,IF(C80=1,2,0))</x:f>
        <x:v>0</x:v>
      </x:c>
      <x:c r="D81" t="n">
        <x:f>IF(C81&gt;0,C81,IF(D80=1,3,0))</x:f>
        <x:v>0</x:v>
      </x:c>
      <x:c r="E81" t="n">
        <x:f>IF(D81&gt;0,D81,IF(E80=1,4,0))</x:f>
        <x:v>4</x:v>
      </x:c>
      <x:c r="F81" t="n">
        <x:f>IF(E81&gt;0,E81,IF(F80=1,5,0))</x:f>
        <x:v>4</x:v>
      </x:c>
      <x:c r="G81" t="n">
        <x:f>IF(F81&gt;0,F81,IF(G80=1,6,0))</x:f>
        <x:v>4</x:v>
      </x:c>
      <x:c r="H81" t="n">
        <x:f>IF(G81&gt;0,G81,IF(H80=1,7,0))</x:f>
        <x:v>4</x:v>
      </x:c>
      <x:c r="I81" t="n">
        <x:f>IF(H81&gt;0,H81,IF(I80=1,8,0))</x:f>
        <x:v>4</x:v>
      </x:c>
      <x:c r="J81" t="n">
        <x:f>IF(I81&gt;0,I81,IF(J80=1,9,0))</x:f>
        <x:v>4</x:v>
      </x:c>
      <x:c r="K81" t="n">
        <x:f>IF(J81&gt;0,J81,IF(K80=1,10,0))</x:f>
        <x:v>4</x:v>
      </x:c>
      <x:c r="L81" t="n">
        <x:f>IF(K81&gt;0,K81,IF(L80=1,11,0))</x:f>
        <x:v>4</x:v>
      </x:c>
      <x:c r="M81" t="n">
        <x:f>IF(L81&gt;0,L81,IF(M80=1,12,0))</x:f>
        <x:v>4</x:v>
      </x:c>
      <x:c r="N81" t="n">
        <x:f>IF(M81&gt;0,M81,IF(N80=1,13,0))</x:f>
        <x:v>4</x:v>
      </x:c>
      <x:c r="O81" t="n">
        <x:f>IF(N81&gt;0,N81,IF(O80=1,14,0))</x:f>
        <x:v>4</x:v>
      </x:c>
      <x:c r="P81" t="n">
        <x:f>IF(O81&gt;0,O81,IF(P80=1,15,0))</x:f>
        <x:v>4</x:v>
      </x:c>
      <x:c r="Q81" t="n">
        <x:f>IF(P81&gt;0,P81,IF(Q80=1,16,0))</x:f>
        <x:v>4</x:v>
      </x:c>
      <x:c r="R81" t="n">
        <x:f>IF(Q81&gt;0,Q81,IF(R80=1,17,0))</x:f>
        <x:v>4</x:v>
      </x:c>
      <x:c r="S81" t="n">
        <x:f>IF(R81&gt;0,R81,IF(S80=1,18,0))</x:f>
        <x:v>4</x:v>
      </x:c>
      <x:c r="T81" t="n">
        <x:f>IF(S81&gt;0,S81,IF(T80=1,19,0))</x:f>
        <x:v>4</x:v>
      </x:c>
      <x:c r="U81" t="n">
        <x:f>IF(T81&gt;0,T81,IF(U80=1,20,0))</x:f>
        <x:v>4</x:v>
      </x:c>
      <x:c r="V81" t="n">
        <x:f>IF(U81&gt;0,U81,IF(V80=1,21,0))</x:f>
        <x:v>4</x:v>
      </x:c>
      <x:c r="W81" t="n">
        <x:f>IF(V81&gt;0,V81,IF(W80=1,22,0))</x:f>
        <x:v>4</x:v>
      </x:c>
      <x:c r="X81" t="n">
        <x:f>IF(W81&gt;0,W81,IF(X80=1,23,0))</x:f>
        <x:v>4</x:v>
      </x:c>
      <x:c r="Y81" t="n">
        <x:f>IF(X81&gt;0,X81,IF(Y80=1,24,0))</x:f>
        <x:v>4</x:v>
      </x:c>
      <x:c r="Z81" t="n">
        <x:f>IF(Y81&gt;0,Y81,IF(Z80=1,25,0))</x:f>
        <x:v>4</x:v>
      </x:c>
      <x:c r="AA81" t="n">
        <x:f>IF(Z81&gt;0,Z81,IF(AA80=1,26,0))</x:f>
        <x:v>4</x:v>
      </x:c>
      <x:c r="AB81" t="n">
        <x:f>IF(AA81&gt;0,AA81,IF(AB80=1,27,0))</x:f>
        <x:v>4</x:v>
      </x:c>
      <x:c r="AC81" t="n">
        <x:f>IF(AB81&gt;0,AB81,IF(AC80=1,28,0))</x:f>
        <x:v>4</x:v>
      </x:c>
      <x:c r="AD81" t="n">
        <x:f>IF(AC81&gt;0,AC81,IF(AD80=1,29,0))</x:f>
        <x:v>4</x:v>
      </x:c>
      <x:c r="AE81" t="n">
        <x:f>IF(AD81&gt;0,AD81,IF(AE80=1,30,0))</x:f>
        <x:v>4</x:v>
      </x:c>
      <x:c r="AF81" t="n">
        <x:f>IF(AE81&gt;0,AE81,IF(AF80=1,31,0))</x:f>
        <x:v>4</x:v>
      </x:c>
      <x:c r="AG81" t="n">
        <x:f>IF(AF81&gt;0,AF81,IF(AG80=1,32,0))</x:f>
        <x:v>4</x:v>
      </x:c>
      <x:c r="AH81" t="n">
        <x:f>IF(AG81&gt;0,AG81,IF(AH80=1,33,0))</x:f>
        <x:v>4</x:v>
      </x:c>
      <x:c r="AI81" t="n">
        <x:f>IF(AH81&gt;0,AH81,IF(AI80=1,34,0))</x:f>
        <x:v>4</x:v>
      </x:c>
      <x:c r="AJ81" t="n">
        <x:f>IF(AI81&gt;0,AI81,IF(AJ80=1,35,0))</x:f>
        <x:v>4</x:v>
      </x:c>
      <x:c r="AK81" t="n">
        <x:f>IF(AJ81&gt;0,AJ81,IF(AK80=1,36,0))</x:f>
        <x:v>4</x:v>
      </x:c>
    </x:row>
    <x:row r="82">
      <x:c r="A82" s="32" t="str">
        <x:v>Деньги &lt; 0?</x:v>
      </x:c>
      <x:c r="B82" t="n">
        <x:f>IF(B79&lt;0,1,0)</x:f>
        <x:v>0</x:v>
      </x:c>
      <x:c r="C82" t="n">
        <x:f>IF(C79&lt;0,1,0)</x:f>
        <x:v>0</x:v>
      </x:c>
      <x:c r="D82" t="n">
        <x:f>IF(D79&lt;0,1,0)</x:f>
        <x:v>0</x:v>
      </x:c>
      <x:c r="E82" t="n">
        <x:f>IF(E79&lt;0,1,0)</x:f>
        <x:v>0</x:v>
      </x:c>
      <x:c r="F82" t="n">
        <x:f>IF(F79&lt;0,1,0)</x:f>
        <x:v>0</x:v>
      </x:c>
      <x:c r="G82" t="n">
        <x:f>IF(G79&lt;0,1,0)</x:f>
        <x:v>1</x:v>
      </x:c>
      <x:c r="H82" t="n">
        <x:f>IF(H79&lt;0,1,0)</x:f>
        <x:v>1</x:v>
      </x:c>
      <x:c r="I82" t="n">
        <x:f>IF(I79&lt;0,1,0)</x:f>
        <x:v>1</x:v>
      </x:c>
      <x:c r="J82" t="n">
        <x:f>IF(J79&lt;0,1,0)</x:f>
        <x:v>1</x:v>
      </x:c>
      <x:c r="K82" t="n">
        <x:f>IF(K79&lt;0,1,0)</x:f>
        <x:v>1</x:v>
      </x:c>
      <x:c r="L82" t="n">
        <x:f>IF(L79&lt;0,1,0)</x:f>
        <x:v>1</x:v>
      </x:c>
      <x:c r="M82" t="n">
        <x:f>IF(M79&lt;0,1,0)</x:f>
        <x:v>1</x:v>
      </x:c>
      <x:c r="N82" t="n">
        <x:f>IF(N79&lt;0,1,0)</x:f>
        <x:v>1</x:v>
      </x:c>
      <x:c r="O82" t="n">
        <x:f>IF(O79&lt;0,1,0)</x:f>
        <x:v>1</x:v>
      </x:c>
      <x:c r="P82" t="n">
        <x:f>IF(P79&lt;0,1,0)</x:f>
        <x:v>1</x:v>
      </x:c>
      <x:c r="Q82" t="n">
        <x:f>IF(Q79&lt;0,1,0)</x:f>
        <x:v>1</x:v>
      </x:c>
      <x:c r="R82" t="n">
        <x:f>IF(R79&lt;0,1,0)</x:f>
        <x:v>1</x:v>
      </x:c>
      <x:c r="S82" t="n">
        <x:f>IF(S79&lt;0,1,0)</x:f>
        <x:v>1</x:v>
      </x:c>
      <x:c r="T82" t="n">
        <x:f>IF(T79&lt;0,1,0)</x:f>
        <x:v>1</x:v>
      </x:c>
      <x:c r="U82" t="n">
        <x:f>IF(U79&lt;0,1,0)</x:f>
        <x:v>1</x:v>
      </x:c>
      <x:c r="V82" t="n">
        <x:f>IF(V79&lt;0,1,0)</x:f>
        <x:v>1</x:v>
      </x:c>
      <x:c r="W82" t="n">
        <x:f>IF(W79&lt;0,1,0)</x:f>
        <x:v>1</x:v>
      </x:c>
      <x:c r="X82" t="n">
        <x:f>IF(X79&lt;0,1,0)</x:f>
        <x:v>1</x:v>
      </x:c>
      <x:c r="Y82" t="n">
        <x:f>IF(Y79&lt;0,1,0)</x:f>
        <x:v>1</x:v>
      </x:c>
      <x:c r="Z82" t="n">
        <x:f>IF(Z79&lt;0,1,0)</x:f>
        <x:v>1</x:v>
      </x:c>
      <x:c r="AA82" t="n">
        <x:f>IF(AA79&lt;0,1,0)</x:f>
        <x:v>0</x:v>
      </x:c>
      <x:c r="AB82" t="n">
        <x:f>IF(AB79&lt;0,1,0)</x:f>
        <x:v>0</x:v>
      </x:c>
      <x:c r="AC82" t="n">
        <x:f>IF(AC79&lt;0,1,0)</x:f>
        <x:v>0</x:v>
      </x:c>
      <x:c r="AD82" t="n">
        <x:f>IF(AD79&lt;0,1,0)</x:f>
        <x:v>0</x:v>
      </x:c>
      <x:c r="AE82" t="n">
        <x:f>IF(AE79&lt;0,1,0)</x:f>
        <x:v>0</x:v>
      </x:c>
      <x:c r="AF82" t="n">
        <x:f>IF(AF79&lt;0,1,0)</x:f>
        <x:v>0</x:v>
      </x:c>
      <x:c r="AG82" t="n">
        <x:f>IF(AG79&lt;0,1,0)</x:f>
        <x:v>0</x:v>
      </x:c>
      <x:c r="AH82" t="n">
        <x:f>IF(AH79&lt;0,1,0)</x:f>
        <x:v>0</x:v>
      </x:c>
      <x:c r="AI82" t="n">
        <x:f>IF(AI79&lt;0,1,0)</x:f>
        <x:v>0</x:v>
      </x:c>
      <x:c r="AJ82" t="n">
        <x:f>IF(AJ79&lt;0,1,0)</x:f>
        <x:v>0</x:v>
      </x:c>
      <x:c r="AK82" t="n">
        <x:f>IF(AK79&lt;0,1,0)</x:f>
        <x:v>0</x:v>
      </x:c>
    </x:row>
    <x:row r="83">
      <x:c r="A83" s="32" t="str">
        <x:v>Первый месяц денег &lt; 0</x:v>
      </x:c>
      <x:c r="B83" t="n">
        <x:f>IF(B82=1,1,0)</x:f>
        <x:v>0</x:v>
      </x:c>
      <x:c r="C83" t="n">
        <x:f>IF(B83&gt;0,B83,IF(C82=1,2,0))</x:f>
        <x:v>0</x:v>
      </x:c>
      <x:c r="D83" t="n">
        <x:f>IF(C83&gt;0,C83,IF(D82=1,3,0))</x:f>
        <x:v>0</x:v>
      </x:c>
      <x:c r="E83" t="n">
        <x:f>IF(D83&gt;0,D83,IF(E82=1,4,0))</x:f>
        <x:v>0</x:v>
      </x:c>
      <x:c r="F83" t="n">
        <x:f>IF(E83&gt;0,E83,IF(F82=1,5,0))</x:f>
        <x:v>0</x:v>
      </x:c>
      <x:c r="G83" t="n">
        <x:f>IF(F83&gt;0,F83,IF(G82=1,6,0))</x:f>
        <x:v>6</x:v>
      </x:c>
      <x:c r="H83" t="n">
        <x:f>IF(G83&gt;0,G83,IF(H82=1,7,0))</x:f>
        <x:v>6</x:v>
      </x:c>
      <x:c r="I83" t="n">
        <x:f>IF(H83&gt;0,H83,IF(I82=1,8,0))</x:f>
        <x:v>6</x:v>
      </x:c>
      <x:c r="J83" t="n">
        <x:f>IF(I83&gt;0,I83,IF(J82=1,9,0))</x:f>
        <x:v>6</x:v>
      </x:c>
      <x:c r="K83" t="n">
        <x:f>IF(J83&gt;0,J83,IF(K82=1,10,0))</x:f>
        <x:v>6</x:v>
      </x:c>
      <x:c r="L83" t="n">
        <x:f>IF(K83&gt;0,K83,IF(L82=1,11,0))</x:f>
        <x:v>6</x:v>
      </x:c>
      <x:c r="M83" t="n">
        <x:f>IF(L83&gt;0,L83,IF(M82=1,12,0))</x:f>
        <x:v>6</x:v>
      </x:c>
      <x:c r="N83" t="n">
        <x:f>IF(M83&gt;0,M83,IF(N82=1,13,0))</x:f>
        <x:v>6</x:v>
      </x:c>
      <x:c r="O83" t="n">
        <x:f>IF(N83&gt;0,N83,IF(O82=1,14,0))</x:f>
        <x:v>6</x:v>
      </x:c>
      <x:c r="P83" t="n">
        <x:f>IF(O83&gt;0,O83,IF(P82=1,15,0))</x:f>
        <x:v>6</x:v>
      </x:c>
      <x:c r="Q83" t="n">
        <x:f>IF(P83&gt;0,P83,IF(Q82=1,16,0))</x:f>
        <x:v>6</x:v>
      </x:c>
      <x:c r="R83" t="n">
        <x:f>IF(Q83&gt;0,Q83,IF(R82=1,17,0))</x:f>
        <x:v>6</x:v>
      </x:c>
      <x:c r="S83" t="n">
        <x:f>IF(R83&gt;0,R83,IF(S82=1,18,0))</x:f>
        <x:v>6</x:v>
      </x:c>
      <x:c r="T83" t="n">
        <x:f>IF(S83&gt;0,S83,IF(T82=1,19,0))</x:f>
        <x:v>6</x:v>
      </x:c>
      <x:c r="U83" t="n">
        <x:f>IF(T83&gt;0,T83,IF(U82=1,20,0))</x:f>
        <x:v>6</x:v>
      </x:c>
      <x:c r="V83" t="n">
        <x:f>IF(U83&gt;0,U83,IF(V82=1,21,0))</x:f>
        <x:v>6</x:v>
      </x:c>
      <x:c r="W83" t="n">
        <x:f>IF(V83&gt;0,V83,IF(W82=1,22,0))</x:f>
        <x:v>6</x:v>
      </x:c>
      <x:c r="X83" t="n">
        <x:f>IF(W83&gt;0,W83,IF(X82=1,23,0))</x:f>
        <x:v>6</x:v>
      </x:c>
      <x:c r="Y83" t="n">
        <x:f>IF(X83&gt;0,X83,IF(Y82=1,24,0))</x:f>
        <x:v>6</x:v>
      </x:c>
      <x:c r="Z83" t="n">
        <x:f>IF(Y83&gt;0,Y83,IF(Z82=1,25,0))</x:f>
        <x:v>6</x:v>
      </x:c>
      <x:c r="AA83" t="n">
        <x:f>IF(Z83&gt;0,Z83,IF(AA82=1,26,0))</x:f>
        <x:v>6</x:v>
      </x:c>
      <x:c r="AB83" t="n">
        <x:f>IF(AA83&gt;0,AA83,IF(AB82=1,27,0))</x:f>
        <x:v>6</x:v>
      </x:c>
      <x:c r="AC83" t="n">
        <x:f>IF(AB83&gt;0,AB83,IF(AC82=1,28,0))</x:f>
        <x:v>6</x:v>
      </x:c>
      <x:c r="AD83" t="n">
        <x:f>IF(AC83&gt;0,AC83,IF(AD82=1,29,0))</x:f>
        <x:v>6</x:v>
      </x:c>
      <x:c r="AE83" t="n">
        <x:f>IF(AD83&gt;0,AD83,IF(AE82=1,30,0))</x:f>
        <x:v>6</x:v>
      </x:c>
      <x:c r="AF83" t="n">
        <x:f>IF(AE83&gt;0,AE83,IF(AF82=1,31,0))</x:f>
        <x:v>6</x:v>
      </x:c>
      <x:c r="AG83" t="n">
        <x:f>IF(AF83&gt;0,AF83,IF(AG82=1,32,0))</x:f>
        <x:v>6</x:v>
      </x:c>
      <x:c r="AH83" t="n">
        <x:f>IF(AG83&gt;0,AG83,IF(AH82=1,33,0))</x:f>
        <x:v>6</x:v>
      </x:c>
      <x:c r="AI83" t="n">
        <x:f>IF(AH83&gt;0,AH83,IF(AI82=1,34,0))</x:f>
        <x:v>6</x:v>
      </x:c>
      <x:c r="AJ83" t="n">
        <x:f>IF(AI83&gt;0,AI83,IF(AJ82=1,35,0))</x:f>
        <x:v>6</x:v>
      </x:c>
      <x:c r="AK83" t="n">
        <x:f>IF(AJ83&gt;0,AJ83,IF(AK82=1,36,0))</x:f>
        <x:v>6</x:v>
      </x:c>
    </x:row>
    <x:row r="84">
      <x:c r="A84" s="32" t="str">
        <x:v>Потребность в дополнительном капитале до резерва, ₽</x:v>
      </x:c>
      <x:c r="B84" s="55" t="n">
        <x:f>MAX(0,'Допущения'!$D$26-B79)</x:f>
        <x:v>0</x:v>
      </x:c>
      <x:c r="C84" s="55" t="n">
        <x:f>MAX(0,'Допущения'!$D$26-C79)</x:f>
        <x:v>0</x:v>
      </x:c>
      <x:c r="D84" s="55" t="n">
        <x:f>MAX(0,'Допущения'!$D$26-D79)</x:f>
        <x:v>0</x:v>
      </x:c>
      <x:c r="E84" s="55" t="n">
        <x:f>MAX(0,'Допущения'!$D$26-E79)</x:f>
        <x:v>16969.971534999087</x:v>
      </x:c>
      <x:c r="F84" s="55" t="n">
        <x:f>MAX(0,'Допущения'!$D$26-F79)</x:f>
        <x:v>2227218.0069619743</x:v>
      </x:c>
      <x:c r="G84" s="55" t="n">
        <x:f>MAX(0,'Допущения'!$D$26-G79)</x:f>
        <x:v>4210314.981857545</x:v>
      </x:c>
      <x:c r="H84" s="55" t="n">
        <x:f>MAX(0,'Допущения'!$D$26-H79)</x:f>
        <x:v>6811994.512129682</x:v>
      </x:c>
      <x:c r="I84" s="55" t="n">
        <x:f>MAX(0,'Допущения'!$D$26-I79)</x:f>
        <x:v>8607349.954697736</x:v>
      </x:c>
      <x:c r="J84" s="55" t="n">
        <x:f>MAX(0,'Допущения'!$D$26-J79)</x:f>
        <x:v>10127103.13962727</x:v>
      </x:c>
      <x:c r="K84" s="55" t="n">
        <x:f>MAX(0,'Допущения'!$D$26-K79)</x:f>
        <x:v>11837314.37278286</x:v>
      </x:c>
      <x:c r="L84" s="55" t="n">
        <x:f>MAX(0,'Допущения'!$D$26-L79)</x:f>
        <x:v>13280129.405521117</x:v>
      </x:c>
      <x:c r="M84" s="55" t="n">
        <x:f>MAX(0,'Допущения'!$D$26-M79)</x:f>
        <x:v>14459559.1808483</x:v>
      </x:c>
      <x:c r="N84" s="55" t="n">
        <x:f>MAX(0,'Допущения'!$D$26-N79)</x:f>
        <x:v>15805979.406313576</x:v>
      </x:c>
      <x:c r="O84" s="55" t="n">
        <x:f>MAX(0,'Допущения'!$D$26-O79)</x:f>
        <x:v>16310920.220407192</x:v>
      </x:c>
      <x:c r="P84" s="55" t="n">
        <x:f>MAX(0,'Допущения'!$D$26-P79)</x:f>
        <x:v>16523729.023769468</x:v>
      </x:c>
      <x:c r="Q84" s="55" t="n">
        <x:f>MAX(0,'Допущения'!$D$26-Q79)</x:f>
        <x:v>16403298.718116062</x:v>
      </x:c>
      <x:c r="R84" s="55" t="n">
        <x:f>MAX(0,'Допущения'!$D$26-R79)</x:f>
        <x:v>16011419.494957</x:v>
      </x:c>
      <x:c r="S84" s="55" t="n">
        <x:f>MAX(0,'Допущения'!$D$26-S79)</x:f>
        <x:v>15352163.08805487</x:v>
      </x:c>
      <x:c r="T84" s="55" t="n">
        <x:f>MAX(0,'Допущения'!$D$26-T79)</x:f>
        <x:v>14376496.219648244</x:v>
      </x:c>
      <x:c r="U84" s="55" t="n">
        <x:f>MAX(0,'Допущения'!$D$26-U79)</x:f>
        <x:v>13141413.3231445</x:v>
      </x:c>
      <x:c r="V84" s="55" t="n">
        <x:f>MAX(0,'Допущения'!$D$26-V79)</x:f>
        <x:v>11887055.63896509</x:v>
      </x:c>
      <x:c r="W84" s="55" t="n">
        <x:f>MAX(0,'Допущения'!$D$26-W79)</x:f>
        <x:v>10332205.618248988</x:v>
      </x:c>
      <x:c r="X84" s="55" t="n">
        <x:f>MAX(0,'Допущения'!$D$26-X79)</x:f>
        <x:v>8529439.060410265</x:v>
      </x:c>
      <x:c r="Y84" s="55" t="n">
        <x:f>MAX(0,'Допущения'!$D$26-Y79)</x:f>
        <x:v>6482474.713505763</x:v>
      </x:c>
      <x:c r="Z84" s="55" t="n">
        <x:f>MAX(0,'Допущения'!$D$26-Z79)</x:f>
        <x:v>5660306.791185292</x:v>
      </x:c>
      <x:c r="AA84" s="55" t="n">
        <x:f>MAX(0,'Допущения'!$D$26-AA79)</x:f>
        <x:v>2280792.648968475</x:v>
      </x:c>
      <x:c r="AB84" s="55" t="n">
        <x:f>MAX(0,'Допущения'!$D$26-AB79)</x:f>
        <x:v>0</x:v>
      </x:c>
      <x:c r="AC84" s="55" t="n">
        <x:f>MAX(0,'Допущения'!$D$26-AC79)</x:f>
        <x:v>0</x:v>
      </x:c>
      <x:c r="AD84" s="55" t="n">
        <x:f>MAX(0,'Допущения'!$D$26-AD79)</x:f>
        <x:v>0</x:v>
      </x:c>
      <x:c r="AE84" s="55" t="n">
        <x:f>MAX(0,'Допущения'!$D$26-AE79)</x:f>
        <x:v>0</x:v>
      </x:c>
      <x:c r="AF84" s="55" t="n">
        <x:f>MAX(0,'Допущения'!$D$26-AF79)</x:f>
        <x:v>0</x:v>
      </x:c>
      <x:c r="AG84" s="55" t="n">
        <x:f>MAX(0,'Допущения'!$D$26-AG79)</x:f>
        <x:v>0</x:v>
      </x:c>
      <x:c r="AH84" s="55" t="n">
        <x:f>MAX(0,'Допущения'!$D$26-AH79)</x:f>
        <x:v>0</x:v>
      </x:c>
      <x:c r="AI84" s="55" t="n">
        <x:f>MAX(0,'Допущения'!$D$26-AI79)</x:f>
        <x:v>0</x:v>
      </x:c>
      <x:c r="AJ84" s="55" t="n">
        <x:f>MAX(0,'Допущения'!$D$26-AJ79)</x:f>
        <x:v>0</x:v>
      </x:c>
      <x:c r="AK84" s="55" t="n">
        <x:f>MAX(0,'Допущения'!$D$26-AK79)</x:f>
        <x:v>0</x:v>
      </x:c>
    </x:row>
    <x:row r="85">
      <x:c r="A85" s="32" t="str">
        <x:v>EBITDA ≥ 0?</x:v>
      </x:c>
      <x:c r="B85" t="n">
        <x:f>IF(B74&gt;=0,1,0)</x:f>
        <x:v>0</x:v>
      </x:c>
      <x:c r="C85" t="n">
        <x:f>IF(C74&gt;=0,1,0)</x:f>
        <x:v>0</x:v>
      </x:c>
      <x:c r="D85" t="n">
        <x:f>IF(D74&gt;=0,1,0)</x:f>
        <x:v>0</x:v>
      </x:c>
      <x:c r="E85" t="n">
        <x:f>IF(E74&gt;=0,1,0)</x:f>
        <x:v>0</x:v>
      </x:c>
      <x:c r="F85" t="n">
        <x:f>IF(F74&gt;=0,1,0)</x:f>
        <x:v>0</x:v>
      </x:c>
      <x:c r="G85" t="n">
        <x:f>IF(G74&gt;=0,1,0)</x:f>
        <x:v>0</x:v>
      </x:c>
      <x:c r="H85" t="n">
        <x:f>IF(H74&gt;=0,1,0)</x:f>
        <x:v>0</x:v>
      </x:c>
      <x:c r="I85" t="n">
        <x:f>IF(I74&gt;=0,1,0)</x:f>
        <x:v>0</x:v>
      </x:c>
      <x:c r="J85" t="n">
        <x:f>IF(J74&gt;=0,1,0)</x:f>
        <x:v>0</x:v>
      </x:c>
      <x:c r="K85" t="n">
        <x:f>IF(K74&gt;=0,1,0)</x:f>
        <x:v>0</x:v>
      </x:c>
      <x:c r="L85" t="n">
        <x:f>IF(L74&gt;=0,1,0)</x:f>
        <x:v>0</x:v>
      </x:c>
      <x:c r="M85" t="n">
        <x:f>IF(M74&gt;=0,1,0)</x:f>
        <x:v>0</x:v>
      </x:c>
      <x:c r="N85" t="n">
        <x:f>IF(N74&gt;=0,1,0)</x:f>
        <x:v>0</x:v>
      </x:c>
      <x:c r="O85" t="n">
        <x:f>IF(O74&gt;=0,1,0)</x:f>
        <x:v>0</x:v>
      </x:c>
      <x:c r="P85" t="n">
        <x:f>IF(P74&gt;=0,1,0)</x:f>
        <x:v>1</x:v>
      </x:c>
      <x:c r="Q85" t="n">
        <x:f>IF(Q74&gt;=0,1,0)</x:f>
        <x:v>1</x:v>
      </x:c>
      <x:c r="R85" t="n">
        <x:f>IF(R74&gt;=0,1,0)</x:f>
        <x:v>1</x:v>
      </x:c>
      <x:c r="S85" t="n">
        <x:f>IF(S74&gt;=0,1,0)</x:f>
        <x:v>1</x:v>
      </x:c>
      <x:c r="T85" t="n">
        <x:f>IF(T74&gt;=0,1,0)</x:f>
        <x:v>1</x:v>
      </x:c>
      <x:c r="U85" t="n">
        <x:f>IF(U74&gt;=0,1,0)</x:f>
        <x:v>1</x:v>
      </x:c>
      <x:c r="V85" t="n">
        <x:f>IF(V74&gt;=0,1,0)</x:f>
        <x:v>1</x:v>
      </x:c>
      <x:c r="W85" t="n">
        <x:f>IF(W74&gt;=0,1,0)</x:f>
        <x:v>1</x:v>
      </x:c>
      <x:c r="X85" t="n">
        <x:f>IF(X74&gt;=0,1,0)</x:f>
        <x:v>1</x:v>
      </x:c>
      <x:c r="Y85" t="n">
        <x:f>IF(Y74&gt;=0,1,0)</x:f>
        <x:v>1</x:v>
      </x:c>
      <x:c r="Z85" t="n">
        <x:f>IF(Z74&gt;=0,1,0)</x:f>
        <x:v>1</x:v>
      </x:c>
      <x:c r="AA85" t="n">
        <x:f>IF(AA74&gt;=0,1,0)</x:f>
        <x:v>1</x:v>
      </x:c>
      <x:c r="AB85" t="n">
        <x:f>IF(AB74&gt;=0,1,0)</x:f>
        <x:v>1</x:v>
      </x:c>
      <x:c r="AC85" t="n">
        <x:f>IF(AC74&gt;=0,1,0)</x:f>
        <x:v>1</x:v>
      </x:c>
      <x:c r="AD85" t="n">
        <x:f>IF(AD74&gt;=0,1,0)</x:f>
        <x:v>1</x:v>
      </x:c>
      <x:c r="AE85" t="n">
        <x:f>IF(AE74&gt;=0,1,0)</x:f>
        <x:v>1</x:v>
      </x:c>
      <x:c r="AF85" t="n">
        <x:f>IF(AF74&gt;=0,1,0)</x:f>
        <x:v>1</x:v>
      </x:c>
      <x:c r="AG85" t="n">
        <x:f>IF(AG74&gt;=0,1,0)</x:f>
        <x:v>1</x:v>
      </x:c>
      <x:c r="AH85" t="n">
        <x:f>IF(AH74&gt;=0,1,0)</x:f>
        <x:v>1</x:v>
      </x:c>
      <x:c r="AI85" t="n">
        <x:f>IF(AI74&gt;=0,1,0)</x:f>
        <x:v>1</x:v>
      </x:c>
      <x:c r="AJ85" t="n">
        <x:f>IF(AJ74&gt;=0,1,0)</x:f>
        <x:v>1</x:v>
      </x:c>
      <x:c r="AK85" t="n">
        <x:f>IF(AK74&gt;=0,1,0)</x:f>
        <x:v>1</x:v>
      </x:c>
    </x:row>
    <x:row r="86">
      <x:c r="A86" s="32" t="str">
        <x:v>Первый месяц EBITDA ≥ 0</x:v>
      </x:c>
      <x:c r="B86" t="n">
        <x:f>IF(B85=1,1,0)</x:f>
        <x:v>0</x:v>
      </x:c>
      <x:c r="C86" t="n">
        <x:f>IF(B86&gt;0,B86,IF(C85=1,2,0))</x:f>
        <x:v>0</x:v>
      </x:c>
      <x:c r="D86" t="n">
        <x:f>IF(C86&gt;0,C86,IF(D85=1,3,0))</x:f>
        <x:v>0</x:v>
      </x:c>
      <x:c r="E86" t="n">
        <x:f>IF(D86&gt;0,D86,IF(E85=1,4,0))</x:f>
        <x:v>0</x:v>
      </x:c>
      <x:c r="F86" t="n">
        <x:f>IF(E86&gt;0,E86,IF(F85=1,5,0))</x:f>
        <x:v>0</x:v>
      </x:c>
      <x:c r="G86" t="n">
        <x:f>IF(F86&gt;0,F86,IF(G85=1,6,0))</x:f>
        <x:v>0</x:v>
      </x:c>
      <x:c r="H86" t="n">
        <x:f>IF(G86&gt;0,G86,IF(H85=1,7,0))</x:f>
        <x:v>0</x:v>
      </x:c>
      <x:c r="I86" t="n">
        <x:f>IF(H86&gt;0,H86,IF(I85=1,8,0))</x:f>
        <x:v>0</x:v>
      </x:c>
      <x:c r="J86" t="n">
        <x:f>IF(I86&gt;0,I86,IF(J85=1,9,0))</x:f>
        <x:v>0</x:v>
      </x:c>
      <x:c r="K86" t="n">
        <x:f>IF(J86&gt;0,J86,IF(K85=1,10,0))</x:f>
        <x:v>0</x:v>
      </x:c>
      <x:c r="L86" t="n">
        <x:f>IF(K86&gt;0,K86,IF(L85=1,11,0))</x:f>
        <x:v>0</x:v>
      </x:c>
      <x:c r="M86" t="n">
        <x:f>IF(L86&gt;0,L86,IF(M85=1,12,0))</x:f>
        <x:v>0</x:v>
      </x:c>
      <x:c r="N86" t="n">
        <x:f>IF(M86&gt;0,M86,IF(N85=1,13,0))</x:f>
        <x:v>0</x:v>
      </x:c>
      <x:c r="O86" t="n">
        <x:f>IF(N86&gt;0,N86,IF(O85=1,14,0))</x:f>
        <x:v>0</x:v>
      </x:c>
      <x:c r="P86" t="n">
        <x:f>IF(O86&gt;0,O86,IF(P85=1,15,0))</x:f>
        <x:v>15</x:v>
      </x:c>
      <x:c r="Q86" t="n">
        <x:f>IF(P86&gt;0,P86,IF(Q85=1,16,0))</x:f>
        <x:v>15</x:v>
      </x:c>
      <x:c r="R86" t="n">
        <x:f>IF(Q86&gt;0,Q86,IF(R85=1,17,0))</x:f>
        <x:v>15</x:v>
      </x:c>
      <x:c r="S86" t="n">
        <x:f>IF(R86&gt;0,R86,IF(S85=1,18,0))</x:f>
        <x:v>15</x:v>
      </x:c>
      <x:c r="T86" t="n">
        <x:f>IF(S86&gt;0,S86,IF(T85=1,19,0))</x:f>
        <x:v>15</x:v>
      </x:c>
      <x:c r="U86" t="n">
        <x:f>IF(T86&gt;0,T86,IF(U85=1,20,0))</x:f>
        <x:v>15</x:v>
      </x:c>
      <x:c r="V86" t="n">
        <x:f>IF(U86&gt;0,U86,IF(V85=1,21,0))</x:f>
        <x:v>15</x:v>
      </x:c>
      <x:c r="W86" t="n">
        <x:f>IF(V86&gt;0,V86,IF(W85=1,22,0))</x:f>
        <x:v>15</x:v>
      </x:c>
      <x:c r="X86" t="n">
        <x:f>IF(W86&gt;0,W86,IF(X85=1,23,0))</x:f>
        <x:v>15</x:v>
      </x:c>
      <x:c r="Y86" t="n">
        <x:f>IF(X86&gt;0,X86,IF(Y85=1,24,0))</x:f>
        <x:v>15</x:v>
      </x:c>
      <x:c r="Z86" t="n">
        <x:f>IF(Y86&gt;0,Y86,IF(Z85=1,25,0))</x:f>
        <x:v>15</x:v>
      </x:c>
      <x:c r="AA86" t="n">
        <x:f>IF(Z86&gt;0,Z86,IF(AA85=1,26,0))</x:f>
        <x:v>15</x:v>
      </x:c>
      <x:c r="AB86" t="n">
        <x:f>IF(AA86&gt;0,AA86,IF(AB85=1,27,0))</x:f>
        <x:v>15</x:v>
      </x:c>
      <x:c r="AC86" t="n">
        <x:f>IF(AB86&gt;0,AB86,IF(AC85=1,28,0))</x:f>
        <x:v>15</x:v>
      </x:c>
      <x:c r="AD86" t="n">
        <x:f>IF(AC86&gt;0,AC86,IF(AD85=1,29,0))</x:f>
        <x:v>15</x:v>
      </x:c>
      <x:c r="AE86" t="n">
        <x:f>IF(AD86&gt;0,AD86,IF(AE85=1,30,0))</x:f>
        <x:v>15</x:v>
      </x:c>
      <x:c r="AF86" t="n">
        <x:f>IF(AE86&gt;0,AE86,IF(AF85=1,31,0))</x:f>
        <x:v>15</x:v>
      </x:c>
      <x:c r="AG86" t="n">
        <x:f>IF(AF86&gt;0,AF86,IF(AG85=1,32,0))</x:f>
        <x:v>15</x:v>
      </x:c>
      <x:c r="AH86" t="n">
        <x:f>IF(AG86&gt;0,AG86,IF(AH85=1,33,0))</x:f>
        <x:v>15</x:v>
      </x:c>
      <x:c r="AI86" t="n">
        <x:f>IF(AH86&gt;0,AH86,IF(AI85=1,34,0))</x:f>
        <x:v>15</x:v>
      </x:c>
      <x:c r="AJ86" t="n">
        <x:f>IF(AI86&gt;0,AI86,IF(AJ85=1,35,0))</x:f>
        <x:v>15</x:v>
      </x:c>
      <x:c r="AK86" t="n">
        <x:f>IF(AJ86&gt;0,AJ86,IF(AK85=1,36,0))</x:f>
        <x:v>15</x:v>
      </x:c>
    </x:row>
    <x:row r="90" ht="26" customHeight="1">
      <x:c r="A90" s="170" t="str">
        <x:v>Сильный стресс — помесячная модель</x:v>
      </x:c>
      <x:c r="B90" s="170"/>
      <x:c r="C90" s="170"/>
      <x:c r="D90" s="170"/>
      <x:c r="E90" s="170"/>
      <x:c r="F90" s="170"/>
      <x:c r="G90" s="170"/>
      <x:c r="H90" s="170"/>
      <x:c r="I90" s="170"/>
      <x:c r="J90" s="170"/>
      <x:c r="K90" s="170"/>
      <x:c r="L90" s="170"/>
      <x:c r="M90" s="170"/>
      <x:c r="N90" s="170"/>
      <x:c r="O90" s="170"/>
      <x:c r="P90" s="170"/>
      <x:c r="Q90" s="170"/>
      <x:c r="R90" s="170"/>
      <x:c r="S90" s="170"/>
      <x:c r="T90" s="170"/>
      <x:c r="U90" s="170"/>
      <x:c r="V90" s="170"/>
      <x:c r="W90" s="170"/>
      <x:c r="X90" s="170"/>
      <x:c r="Y90" s="170"/>
      <x:c r="Z90" s="170"/>
      <x:c r="AA90" s="170"/>
      <x:c r="AB90" s="170"/>
      <x:c r="AC90" s="170"/>
      <x:c r="AD90" s="170"/>
      <x:c r="AE90" s="170"/>
      <x:c r="AF90" s="170"/>
      <x:c r="AG90" s="170"/>
      <x:c r="AH90" s="170"/>
      <x:c r="AI90" s="170"/>
      <x:c r="AJ90" s="170"/>
      <x:c r="AK90" s="170"/>
    </x:row>
    <x:row r="91" ht="26" customHeight="1">
      <x:c r="A91" s="170" t="str">
        <x:v>Показатель</x:v>
      </x:c>
      <x:c r="B91" s="170" t="str">
        <x:v>М1</x:v>
      </x:c>
      <x:c r="C91" s="170" t="str">
        <x:v>М2</x:v>
      </x:c>
      <x:c r="D91" s="170" t="str">
        <x:v>М3</x:v>
      </x:c>
      <x:c r="E91" s="170" t="str">
        <x:v>М4</x:v>
      </x:c>
      <x:c r="F91" s="170" t="str">
        <x:v>М5</x:v>
      </x:c>
      <x:c r="G91" s="170" t="str">
        <x:v>М6</x:v>
      </x:c>
      <x:c r="H91" s="170" t="str">
        <x:v>М7</x:v>
      </x:c>
      <x:c r="I91" s="170" t="str">
        <x:v>М8</x:v>
      </x:c>
      <x:c r="J91" s="170" t="str">
        <x:v>М9</x:v>
      </x:c>
      <x:c r="K91" s="170" t="str">
        <x:v>М10</x:v>
      </x:c>
      <x:c r="L91" s="170" t="str">
        <x:v>М11</x:v>
      </x:c>
      <x:c r="M91" s="170" t="str">
        <x:v>М12</x:v>
      </x:c>
      <x:c r="N91" s="170" t="str">
        <x:v>М13</x:v>
      </x:c>
      <x:c r="O91" s="170" t="str">
        <x:v>М14</x:v>
      </x:c>
      <x:c r="P91" s="170" t="str">
        <x:v>М15</x:v>
      </x:c>
      <x:c r="Q91" s="170" t="str">
        <x:v>М16</x:v>
      </x:c>
      <x:c r="R91" s="170" t="str">
        <x:v>М17</x:v>
      </x:c>
      <x:c r="S91" s="170" t="str">
        <x:v>М18</x:v>
      </x:c>
      <x:c r="T91" s="170" t="str">
        <x:v>М19</x:v>
      </x:c>
      <x:c r="U91" s="170" t="str">
        <x:v>М20</x:v>
      </x:c>
      <x:c r="V91" s="170" t="str">
        <x:v>М21</x:v>
      </x:c>
      <x:c r="W91" s="170" t="str">
        <x:v>М22</x:v>
      </x:c>
      <x:c r="X91" s="170" t="str">
        <x:v>М23</x:v>
      </x:c>
      <x:c r="Y91" s="170" t="str">
        <x:v>М24</x:v>
      </x:c>
      <x:c r="Z91" s="170" t="str">
        <x:v>М25</x:v>
      </x:c>
      <x:c r="AA91" s="170" t="str">
        <x:v>М26</x:v>
      </x:c>
      <x:c r="AB91" s="170" t="str">
        <x:v>М27</x:v>
      </x:c>
      <x:c r="AC91" s="170" t="str">
        <x:v>М28</x:v>
      </x:c>
      <x:c r="AD91" s="170" t="str">
        <x:v>М29</x:v>
      </x:c>
      <x:c r="AE91" s="170" t="str">
        <x:v>М30</x:v>
      </x:c>
      <x:c r="AF91" s="170" t="str">
        <x:v>М31</x:v>
      </x:c>
      <x:c r="AG91" s="170" t="str">
        <x:v>М32</x:v>
      </x:c>
      <x:c r="AH91" s="170" t="str">
        <x:v>М33</x:v>
      </x:c>
      <x:c r="AI91" s="170" t="str">
        <x:v>М34</x:v>
      </x:c>
      <x:c r="AJ91" s="170" t="str">
        <x:v>М35</x:v>
      </x:c>
      <x:c r="AK91" s="170" t="str">
        <x:v>М36</x:v>
      </x:c>
    </x:row>
    <x:row r="92">
      <x:c r="A92" s="32" t="str">
        <x:v>Аудиты</x:v>
      </x:c>
      <x:c r="B92" s="98" t="n">
        <x:f>'План аудитов'!B5*$D$5</x:f>
        <x:v>1.5</x:v>
      </x:c>
      <x:c r="C92" s="98" t="n">
        <x:f>'План аудитов'!C5*$D$5</x:f>
        <x:v>2.25</x:v>
      </x:c>
      <x:c r="D92" s="98" t="n">
        <x:f>'План аудитов'!D5*$D$5</x:f>
        <x:v>2.25</x:v>
      </x:c>
      <x:c r="E92" s="98" t="n">
        <x:f>'План аудитов'!E5*$D$5</x:f>
        <x:v>3</x:v>
      </x:c>
      <x:c r="F92" s="98" t="n">
        <x:f>'План аудитов'!F5*$D$5</x:f>
        <x:v>3</x:v>
      </x:c>
      <x:c r="G92" s="98" t="n">
        <x:f>'План аудитов'!G5*$D$5</x:f>
        <x:v>3</x:v>
      </x:c>
      <x:c r="H92" s="98" t="n">
        <x:f>'План аудитов'!H5*$D$5</x:f>
        <x:v>3.75</x:v>
      </x:c>
      <x:c r="I92" s="98" t="n">
        <x:f>'План аудитов'!I5*$D$5</x:f>
        <x:v>3.75</x:v>
      </x:c>
      <x:c r="J92" s="98" t="n">
        <x:f>'План аудитов'!J5*$D$5</x:f>
        <x:v>3.75</x:v>
      </x:c>
      <x:c r="K92" s="98" t="n">
        <x:f>'План аудитов'!K5*$D$5</x:f>
        <x:v>3.75</x:v>
      </x:c>
      <x:c r="L92" s="98" t="n">
        <x:f>'План аудитов'!L5*$D$5</x:f>
        <x:v>3.75</x:v>
      </x:c>
      <x:c r="M92" s="98" t="n">
        <x:f>'План аудитов'!M5*$D$5</x:f>
        <x:v>3.75</x:v>
      </x:c>
      <x:c r="N92" s="98" t="n">
        <x:f>'План аудитов'!N5*$D$5</x:f>
        <x:v>4.5</x:v>
      </x:c>
      <x:c r="O92" s="98" t="n">
        <x:f>'План аудитов'!O5*$D$5</x:f>
        <x:v>4.5</x:v>
      </x:c>
      <x:c r="P92" s="98" t="n">
        <x:f>'План аудитов'!P5*$D$5</x:f>
        <x:v>4.5</x:v>
      </x:c>
      <x:c r="Q92" s="98" t="n">
        <x:f>'План аудитов'!Q5*$D$5</x:f>
        <x:v>4.5</x:v>
      </x:c>
      <x:c r="R92" s="98" t="n">
        <x:f>'План аудитов'!R5*$D$5</x:f>
        <x:v>4.5</x:v>
      </x:c>
      <x:c r="S92" s="98" t="n">
        <x:f>'План аудитов'!S5*$D$5</x:f>
        <x:v>4.5</x:v>
      </x:c>
      <x:c r="T92" s="98" t="n">
        <x:f>'План аудитов'!T5*$D$5</x:f>
        <x:v>4.5</x:v>
      </x:c>
      <x:c r="U92" s="98" t="n">
        <x:f>'План аудитов'!U5*$D$5</x:f>
        <x:v>4.5</x:v>
      </x:c>
      <x:c r="V92" s="98" t="n">
        <x:f>'План аудитов'!V5*$D$5</x:f>
        <x:v>4.5</x:v>
      </x:c>
      <x:c r="W92" s="98" t="n">
        <x:f>'План аудитов'!W5*$D$5</x:f>
        <x:v>4.5</x:v>
      </x:c>
      <x:c r="X92" s="98" t="n">
        <x:f>'План аудитов'!X5*$D$5</x:f>
        <x:v>4.5</x:v>
      </x:c>
      <x:c r="Y92" s="98" t="n">
        <x:f>'План аудитов'!Y5*$D$5</x:f>
        <x:v>4.5</x:v>
      </x:c>
      <x:c r="Z92" s="98" t="n">
        <x:f>'План аудитов'!Z5*$D$5</x:f>
        <x:v>7.5</x:v>
      </x:c>
      <x:c r="AA92" s="98" t="n">
        <x:f>'План аудитов'!AA5*$D$5</x:f>
        <x:v>7.5</x:v>
      </x:c>
      <x:c r="AB92" s="98" t="n">
        <x:f>'План аудитов'!AB5*$D$5</x:f>
        <x:v>7.5</x:v>
      </x:c>
      <x:c r="AC92" s="98" t="n">
        <x:f>'План аудитов'!AC5*$D$5</x:f>
        <x:v>7.5</x:v>
      </x:c>
      <x:c r="AD92" s="98" t="n">
        <x:f>'План аудитов'!AD5*$D$5</x:f>
        <x:v>7.5</x:v>
      </x:c>
      <x:c r="AE92" s="98" t="n">
        <x:f>'План аудитов'!AE5*$D$5</x:f>
        <x:v>7.5</x:v>
      </x:c>
      <x:c r="AF92" s="98" t="n">
        <x:f>'План аудитов'!AF5*$D$5</x:f>
        <x:v>7.5</x:v>
      </x:c>
      <x:c r="AG92" s="98" t="n">
        <x:f>'План аудитов'!AG5*$D$5</x:f>
        <x:v>7.5</x:v>
      </x:c>
      <x:c r="AH92" s="98" t="n">
        <x:f>'План аудитов'!AH5*$D$5</x:f>
        <x:v>7.5</x:v>
      </x:c>
      <x:c r="AI92" s="98" t="n">
        <x:f>'План аудитов'!AI5*$D$5</x:f>
        <x:v>7.5</x:v>
      </x:c>
      <x:c r="AJ92" s="98" t="n">
        <x:f>'План аудитов'!AJ5*$D$5</x:f>
        <x:v>7.5</x:v>
      </x:c>
      <x:c r="AK92" s="98" t="n">
        <x:f>'План аудитов'!AK5*$D$5</x:f>
        <x:v>7.5</x:v>
      </x:c>
    </x:row>
    <x:row r="93">
      <x:c r="A93" s="32" t="str">
        <x:v>Оптимизации</x:v>
      </x:c>
      <x:c r="B93" s="98" t="n">
        <x:f>B92*'Допущения'!$D$5*$D$6</x:f>
        <x:v>0.5775</x:v>
      </x:c>
      <x:c r="C93" s="98" t="n">
        <x:f>C92*'Допущения'!$D$5*$D$6</x:f>
        <x:v>0.86625</x:v>
      </x:c>
      <x:c r="D93" s="98" t="n">
        <x:f>D92*'Допущения'!$D$5*$D$6</x:f>
        <x:v>0.86625</x:v>
      </x:c>
      <x:c r="E93" s="98" t="n">
        <x:f>E92*'Допущения'!$D$5*$D$6</x:f>
        <x:v>1.155</x:v>
      </x:c>
      <x:c r="F93" s="98" t="n">
        <x:f>F92*'Допущения'!$D$5*$D$6</x:f>
        <x:v>1.155</x:v>
      </x:c>
      <x:c r="G93" s="98" t="n">
        <x:f>G92*'Допущения'!$D$5*$D$6</x:f>
        <x:v>1.155</x:v>
      </x:c>
      <x:c r="H93" s="98" t="n">
        <x:f>H92*'Допущения'!$D$5*$D$6</x:f>
        <x:v>1.4437499999999999</x:v>
      </x:c>
      <x:c r="I93" s="98" t="n">
        <x:f>I92*'Допущения'!$D$5*$D$6</x:f>
        <x:v>1.4437499999999999</x:v>
      </x:c>
      <x:c r="J93" s="98" t="n">
        <x:f>J92*'Допущения'!$D$5*$D$6</x:f>
        <x:v>1.4437499999999999</x:v>
      </x:c>
      <x:c r="K93" s="98" t="n">
        <x:f>K92*'Допущения'!$D$5*$D$6</x:f>
        <x:v>1.4437499999999999</x:v>
      </x:c>
      <x:c r="L93" s="98" t="n">
        <x:f>L92*'Допущения'!$D$5*$D$6</x:f>
        <x:v>1.4437499999999999</x:v>
      </x:c>
      <x:c r="M93" s="98" t="n">
        <x:f>M92*'Допущения'!$D$5*$D$6</x:f>
        <x:v>1.4437499999999999</x:v>
      </x:c>
      <x:c r="N93" s="98" t="n">
        <x:f>N92*'Допущения'!$D$5*$D$6</x:f>
        <x:v>1.7325</x:v>
      </x:c>
      <x:c r="O93" s="98" t="n">
        <x:f>O92*'Допущения'!$D$5*$D$6</x:f>
        <x:v>1.7325</x:v>
      </x:c>
      <x:c r="P93" s="98" t="n">
        <x:f>P92*'Допущения'!$D$5*$D$6</x:f>
        <x:v>1.7325</x:v>
      </x:c>
      <x:c r="Q93" s="98" t="n">
        <x:f>Q92*'Допущения'!$D$5*$D$6</x:f>
        <x:v>1.7325</x:v>
      </x:c>
      <x:c r="R93" s="98" t="n">
        <x:f>R92*'Допущения'!$D$5*$D$6</x:f>
        <x:v>1.7325</x:v>
      </x:c>
      <x:c r="S93" s="98" t="n">
        <x:f>S92*'Допущения'!$D$5*$D$6</x:f>
        <x:v>1.7325</x:v>
      </x:c>
      <x:c r="T93" s="98" t="n">
        <x:f>T92*'Допущения'!$D$5*$D$6</x:f>
        <x:v>1.7325</x:v>
      </x:c>
      <x:c r="U93" s="98" t="n">
        <x:f>U92*'Допущения'!$D$5*$D$6</x:f>
        <x:v>1.7325</x:v>
      </x:c>
      <x:c r="V93" s="98" t="n">
        <x:f>V92*'Допущения'!$D$5*$D$6</x:f>
        <x:v>1.7325</x:v>
      </x:c>
      <x:c r="W93" s="98" t="n">
        <x:f>W92*'Допущения'!$D$5*$D$6</x:f>
        <x:v>1.7325</x:v>
      </x:c>
      <x:c r="X93" s="98" t="n">
        <x:f>X92*'Допущения'!$D$5*$D$6</x:f>
        <x:v>1.7325</x:v>
      </x:c>
      <x:c r="Y93" s="98" t="n">
        <x:f>Y92*'Допущения'!$D$5*$D$6</x:f>
        <x:v>1.7325</x:v>
      </x:c>
      <x:c r="Z93" s="98" t="n">
        <x:f>Z92*'Допущения'!$D$5*$D$6</x:f>
        <x:v>2.8874999999999997</x:v>
      </x:c>
      <x:c r="AA93" s="98" t="n">
        <x:f>AA92*'Допущения'!$D$5*$D$6</x:f>
        <x:v>2.8874999999999997</x:v>
      </x:c>
      <x:c r="AB93" s="98" t="n">
        <x:f>AB92*'Допущения'!$D$5*$D$6</x:f>
        <x:v>2.8874999999999997</x:v>
      </x:c>
      <x:c r="AC93" s="98" t="n">
        <x:f>AC92*'Допущения'!$D$5*$D$6</x:f>
        <x:v>2.8874999999999997</x:v>
      </x:c>
      <x:c r="AD93" s="98" t="n">
        <x:f>AD92*'Допущения'!$D$5*$D$6</x:f>
        <x:v>2.8874999999999997</x:v>
      </x:c>
      <x:c r="AE93" s="98" t="n">
        <x:f>AE92*'Допущения'!$D$5*$D$6</x:f>
        <x:v>2.8874999999999997</x:v>
      </x:c>
      <x:c r="AF93" s="98" t="n">
        <x:f>AF92*'Допущения'!$D$5*$D$6</x:f>
        <x:v>2.8874999999999997</x:v>
      </x:c>
      <x:c r="AG93" s="98" t="n">
        <x:f>AG92*'Допущения'!$D$5*$D$6</x:f>
        <x:v>2.8874999999999997</x:v>
      </x:c>
      <x:c r="AH93" s="98" t="n">
        <x:f>AH92*'Допущения'!$D$5*$D$6</x:f>
        <x:v>2.8874999999999997</x:v>
      </x:c>
      <x:c r="AI93" s="98" t="n">
        <x:f>AI92*'Допущения'!$D$5*$D$6</x:f>
        <x:v>2.8874999999999997</x:v>
      </x:c>
      <x:c r="AJ93" s="98" t="n">
        <x:f>AJ92*'Допущения'!$D$5*$D$6</x:f>
        <x:v>2.8874999999999997</x:v>
      </x:c>
      <x:c r="AK93" s="98" t="n">
        <x:f>AK92*'Допущения'!$D$5*$D$6</x:f>
        <x:v>2.8874999999999997</x:v>
      </x:c>
    </x:row>
    <x:row r="94">
      <x:c r="A94" s="32" t="str">
        <x:v>Новые клиенты Ядра QORSYS</x:v>
      </x:c>
      <x:c r="B94" s="98" t="n">
        <x:f>IF(('Допущения'!$D$17+$D$13)=1,0*'Допущения'!$D$5*$D$6*'Допущения'!$D$6*$D$7,IF(('Допущения'!$D$17+$D$13)=2,0*'Допущения'!$D$5*$D$6*'Допущения'!$D$6*$D$7,0))</x:f>
        <x:v>0</x:v>
      </x:c>
      <x:c r="C94" s="98" t="n">
        <x:f>IF(('Допущения'!$D$17+$D$13)=1,B92*'Допущения'!$D$5*$D$6*'Допущения'!$D$6*$D$7,IF(('Допущения'!$D$17+$D$13)=2,0*'Допущения'!$D$5*$D$6*'Допущения'!$D$6*$D$7,0))</x:f>
        <x:v>0</x:v>
      </x:c>
      <x:c r="D94" s="98" t="n">
        <x:f>IF(('Допущения'!$D$17+$D$13)=1,C92*'Допущения'!$D$5*$D$6*'Допущения'!$D$6*$D$7,IF(('Допущения'!$D$17+$D$13)=2,B92*'Допущения'!$D$5*$D$6*'Допущения'!$D$6*$D$7,0))</x:f>
        <x:v>0.36960000000000004</x:v>
      </x:c>
      <x:c r="E94" s="98" t="n">
        <x:f>IF(('Допущения'!$D$17+$D$13)=1,D92*'Допущения'!$D$5*$D$6*'Допущения'!$D$6*$D$7,IF(('Допущения'!$D$17+$D$13)=2,C92*'Допущения'!$D$5*$D$6*'Допущения'!$D$6*$D$7,0))</x:f>
        <x:v>0.5544000000000001</x:v>
      </x:c>
      <x:c r="F94" s="98" t="n">
        <x:f>IF(('Допущения'!$D$17+$D$13)=1,E92*'Допущения'!$D$5*$D$6*'Допущения'!$D$6*$D$7,IF(('Допущения'!$D$17+$D$13)=2,D92*'Допущения'!$D$5*$D$6*'Допущения'!$D$6*$D$7,0))</x:f>
        <x:v>0.5544000000000001</x:v>
      </x:c>
      <x:c r="G94" s="98" t="n">
        <x:f>IF(('Допущения'!$D$17+$D$13)=1,F92*'Допущения'!$D$5*$D$6*'Допущения'!$D$6*$D$7,IF(('Допущения'!$D$17+$D$13)=2,E92*'Допущения'!$D$5*$D$6*'Допущения'!$D$6*$D$7,0))</x:f>
        <x:v>0.7392000000000001</x:v>
      </x:c>
      <x:c r="H94" s="98" t="n">
        <x:f>IF(('Допущения'!$D$17+$D$13)=1,G92*'Допущения'!$D$5*$D$6*'Допущения'!$D$6*$D$7,IF(('Допущения'!$D$17+$D$13)=2,F92*'Допущения'!$D$5*$D$6*'Допущения'!$D$6*$D$7,0))</x:f>
        <x:v>0.7392000000000001</x:v>
      </x:c>
      <x:c r="I94" s="98" t="n">
        <x:f>IF(('Допущения'!$D$17+$D$13)=1,H92*'Допущения'!$D$5*$D$6*'Допущения'!$D$6*$D$7,IF(('Допущения'!$D$17+$D$13)=2,G92*'Допущения'!$D$5*$D$6*'Допущения'!$D$6*$D$7,0))</x:f>
        <x:v>0.7392000000000001</x:v>
      </x:c>
      <x:c r="J94" s="98" t="n">
        <x:f>IF(('Допущения'!$D$17+$D$13)=1,I92*'Допущения'!$D$5*$D$6*'Допущения'!$D$6*$D$7,IF(('Допущения'!$D$17+$D$13)=2,H92*'Допущения'!$D$5*$D$6*'Допущения'!$D$6*$D$7,0))</x:f>
        <x:v>0.924</x:v>
      </x:c>
      <x:c r="K94" s="98" t="n">
        <x:f>IF(('Допущения'!$D$17+$D$13)=1,J92*'Допущения'!$D$5*$D$6*'Допущения'!$D$6*$D$7,IF(('Допущения'!$D$17+$D$13)=2,I92*'Допущения'!$D$5*$D$6*'Допущения'!$D$6*$D$7,0))</x:f>
        <x:v>0.924</x:v>
      </x:c>
      <x:c r="L94" s="98" t="n">
        <x:f>IF(('Допущения'!$D$17+$D$13)=1,K92*'Допущения'!$D$5*$D$6*'Допущения'!$D$6*$D$7,IF(('Допущения'!$D$17+$D$13)=2,J92*'Допущения'!$D$5*$D$6*'Допущения'!$D$6*$D$7,0))</x:f>
        <x:v>0.924</x:v>
      </x:c>
      <x:c r="M94" s="98" t="n">
        <x:f>IF(('Допущения'!$D$17+$D$13)=1,L92*'Допущения'!$D$5*$D$6*'Допущения'!$D$6*$D$7,IF(('Допущения'!$D$17+$D$13)=2,K92*'Допущения'!$D$5*$D$6*'Допущения'!$D$6*$D$7,0))</x:f>
        <x:v>0.924</x:v>
      </x:c>
      <x:c r="N94" s="98" t="n">
        <x:f>IF(('Допущения'!$D$17+$D$13)=1,M92*'Допущения'!$D$5*$D$6*'Допущения'!$D$6*$D$7,IF(('Допущения'!$D$17+$D$13)=2,L92*'Допущения'!$D$5*$D$6*'Допущения'!$D$6*$D$7,0))</x:f>
        <x:v>0.924</x:v>
      </x:c>
      <x:c r="O94" s="98" t="n">
        <x:f>IF(('Допущения'!$D$17+$D$13)=1,N92*'Допущения'!$D$5*$D$6*'Допущения'!$D$6*$D$7,IF(('Допущения'!$D$17+$D$13)=2,M92*'Допущения'!$D$5*$D$6*'Допущения'!$D$6*$D$7,0))</x:f>
        <x:v>0.924</x:v>
      </x:c>
      <x:c r="P94" s="98" t="n">
        <x:f>IF(('Допущения'!$D$17+$D$13)=1,O92*'Допущения'!$D$5*$D$6*'Допущения'!$D$6*$D$7,IF(('Допущения'!$D$17+$D$13)=2,N92*'Допущения'!$D$5*$D$6*'Допущения'!$D$6*$D$7,0))</x:f>
        <x:v>1.1088000000000002</x:v>
      </x:c>
      <x:c r="Q94" s="98" t="n">
        <x:f>IF(('Допущения'!$D$17+$D$13)=1,P92*'Допущения'!$D$5*$D$6*'Допущения'!$D$6*$D$7,IF(('Допущения'!$D$17+$D$13)=2,O92*'Допущения'!$D$5*$D$6*'Допущения'!$D$6*$D$7,0))</x:f>
        <x:v>1.1088000000000002</x:v>
      </x:c>
      <x:c r="R94" s="98" t="n">
        <x:f>IF(('Допущения'!$D$17+$D$13)=1,Q92*'Допущения'!$D$5*$D$6*'Допущения'!$D$6*$D$7,IF(('Допущения'!$D$17+$D$13)=2,P92*'Допущения'!$D$5*$D$6*'Допущения'!$D$6*$D$7,0))</x:f>
        <x:v>1.1088000000000002</x:v>
      </x:c>
      <x:c r="S94" s="98" t="n">
        <x:f>IF(('Допущения'!$D$17+$D$13)=1,R92*'Допущения'!$D$5*$D$6*'Допущения'!$D$6*$D$7,IF(('Допущения'!$D$17+$D$13)=2,Q92*'Допущения'!$D$5*$D$6*'Допущения'!$D$6*$D$7,0))</x:f>
        <x:v>1.1088000000000002</x:v>
      </x:c>
      <x:c r="T94" s="98" t="n">
        <x:f>IF(('Допущения'!$D$17+$D$13)=1,S92*'Допущения'!$D$5*$D$6*'Допущения'!$D$6*$D$7,IF(('Допущения'!$D$17+$D$13)=2,R92*'Допущения'!$D$5*$D$6*'Допущения'!$D$6*$D$7,0))</x:f>
        <x:v>1.1088000000000002</x:v>
      </x:c>
      <x:c r="U94" s="98" t="n">
        <x:f>IF(('Допущения'!$D$17+$D$13)=1,T92*'Допущения'!$D$5*$D$6*'Допущения'!$D$6*$D$7,IF(('Допущения'!$D$17+$D$13)=2,S92*'Допущения'!$D$5*$D$6*'Допущения'!$D$6*$D$7,0))</x:f>
        <x:v>1.1088000000000002</x:v>
      </x:c>
      <x:c r="V94" s="98" t="n">
        <x:f>IF(('Допущения'!$D$17+$D$13)=1,U92*'Допущения'!$D$5*$D$6*'Допущения'!$D$6*$D$7,IF(('Допущения'!$D$17+$D$13)=2,T92*'Допущения'!$D$5*$D$6*'Допущения'!$D$6*$D$7,0))</x:f>
        <x:v>1.1088000000000002</x:v>
      </x:c>
      <x:c r="W94" s="98" t="n">
        <x:f>IF(('Допущения'!$D$17+$D$13)=1,V92*'Допущения'!$D$5*$D$6*'Допущения'!$D$6*$D$7,IF(('Допущения'!$D$17+$D$13)=2,U92*'Допущения'!$D$5*$D$6*'Допущения'!$D$6*$D$7,0))</x:f>
        <x:v>1.1088000000000002</x:v>
      </x:c>
      <x:c r="X94" s="98" t="n">
        <x:f>IF(('Допущения'!$D$17+$D$13)=1,W92*'Допущения'!$D$5*$D$6*'Допущения'!$D$6*$D$7,IF(('Допущения'!$D$17+$D$13)=2,V92*'Допущения'!$D$5*$D$6*'Допущения'!$D$6*$D$7,0))</x:f>
        <x:v>1.1088000000000002</x:v>
      </x:c>
      <x:c r="Y94" s="98" t="n">
        <x:f>IF(('Допущения'!$D$17+$D$13)=1,X92*'Допущения'!$D$5*$D$6*'Допущения'!$D$6*$D$7,IF(('Допущения'!$D$17+$D$13)=2,W92*'Допущения'!$D$5*$D$6*'Допущения'!$D$6*$D$7,0))</x:f>
        <x:v>1.1088000000000002</x:v>
      </x:c>
      <x:c r="Z94" s="98" t="n">
        <x:f>IF(('Допущения'!$D$17+$D$13)=1,Y92*'Допущения'!$D$5*$D$6*'Допущения'!$D$6*$D$7,IF(('Допущения'!$D$17+$D$13)=2,X92*'Допущения'!$D$5*$D$6*'Допущения'!$D$6*$D$7,0))</x:f>
        <x:v>1.1088000000000002</x:v>
      </x:c>
      <x:c r="AA94" s="98" t="n">
        <x:f>IF(('Допущения'!$D$17+$D$13)=1,Z92*'Допущения'!$D$5*$D$6*'Допущения'!$D$6*$D$7,IF(('Допущения'!$D$17+$D$13)=2,Y92*'Допущения'!$D$5*$D$6*'Допущения'!$D$6*$D$7,0))</x:f>
        <x:v>1.1088000000000002</x:v>
      </x:c>
      <x:c r="AB94" s="98" t="n">
        <x:f>IF(('Допущения'!$D$17+$D$13)=1,AA92*'Допущения'!$D$5*$D$6*'Допущения'!$D$6*$D$7,IF(('Допущения'!$D$17+$D$13)=2,Z92*'Допущения'!$D$5*$D$6*'Допущения'!$D$6*$D$7,0))</x:f>
        <x:v>1.848</x:v>
      </x:c>
      <x:c r="AC94" s="98" t="n">
        <x:f>IF(('Допущения'!$D$17+$D$13)=1,AB92*'Допущения'!$D$5*$D$6*'Допущения'!$D$6*$D$7,IF(('Допущения'!$D$17+$D$13)=2,AA92*'Допущения'!$D$5*$D$6*'Допущения'!$D$6*$D$7,0))</x:f>
        <x:v>1.848</x:v>
      </x:c>
      <x:c r="AD94" s="98" t="n">
        <x:f>IF(('Допущения'!$D$17+$D$13)=1,AC92*'Допущения'!$D$5*$D$6*'Допущения'!$D$6*$D$7,IF(('Допущения'!$D$17+$D$13)=2,AB92*'Допущения'!$D$5*$D$6*'Допущения'!$D$6*$D$7,0))</x:f>
        <x:v>1.848</x:v>
      </x:c>
      <x:c r="AE94" s="98" t="n">
        <x:f>IF(('Допущения'!$D$17+$D$13)=1,AD92*'Допущения'!$D$5*$D$6*'Допущения'!$D$6*$D$7,IF(('Допущения'!$D$17+$D$13)=2,AC92*'Допущения'!$D$5*$D$6*'Допущения'!$D$6*$D$7,0))</x:f>
        <x:v>1.848</x:v>
      </x:c>
      <x:c r="AF94" s="98" t="n">
        <x:f>IF(('Допущения'!$D$17+$D$13)=1,AE92*'Допущения'!$D$5*$D$6*'Допущения'!$D$6*$D$7,IF(('Допущения'!$D$17+$D$13)=2,AD92*'Допущения'!$D$5*$D$6*'Допущения'!$D$6*$D$7,0))</x:f>
        <x:v>1.848</x:v>
      </x:c>
      <x:c r="AG94" s="98" t="n">
        <x:f>IF(('Допущения'!$D$17+$D$13)=1,AF92*'Допущения'!$D$5*$D$6*'Допущения'!$D$6*$D$7,IF(('Допущения'!$D$17+$D$13)=2,AE92*'Допущения'!$D$5*$D$6*'Допущения'!$D$6*$D$7,0))</x:f>
        <x:v>1.848</x:v>
      </x:c>
      <x:c r="AH94" s="98" t="n">
        <x:f>IF(('Допущения'!$D$17+$D$13)=1,AG92*'Допущения'!$D$5*$D$6*'Допущения'!$D$6*$D$7,IF(('Допущения'!$D$17+$D$13)=2,AF92*'Допущения'!$D$5*$D$6*'Допущения'!$D$6*$D$7,0))</x:f>
        <x:v>1.848</x:v>
      </x:c>
      <x:c r="AI94" s="98" t="n">
        <x:f>IF(('Допущения'!$D$17+$D$13)=1,AH92*'Допущения'!$D$5*$D$6*'Допущения'!$D$6*$D$7,IF(('Допущения'!$D$17+$D$13)=2,AG92*'Допущения'!$D$5*$D$6*'Допущения'!$D$6*$D$7,0))</x:f>
        <x:v>1.848</x:v>
      </x:c>
      <x:c r="AJ94" s="98" t="n">
        <x:f>IF(('Допущения'!$D$17+$D$13)=1,AI92*'Допущения'!$D$5*$D$6*'Допущения'!$D$6*$D$7,IF(('Допущения'!$D$17+$D$13)=2,AH92*'Допущения'!$D$5*$D$6*'Допущения'!$D$6*$D$7,0))</x:f>
        <x:v>1.848</x:v>
      </x:c>
      <x:c r="AK94" s="98" t="n">
        <x:f>IF(('Допущения'!$D$17+$D$13)=1,AJ92*'Допущения'!$D$5*$D$6*'Допущения'!$D$6*$D$7,IF(('Допущения'!$D$17+$D$13)=2,AI92*'Допущения'!$D$5*$D$6*'Допущения'!$D$6*$D$7,0))</x:f>
        <x:v>1.848</x:v>
      </x:c>
    </x:row>
    <x:row r="95">
      <x:c r="A95" s="32" t="str">
        <x:v>Отток клиентов</x:v>
      </x:c>
      <x:c r="B95" s="98" t="n">
        <x:f>0</x:f>
        <x:v>0</x:v>
      </x:c>
      <x:c r="C95" s="98" t="n">
        <x:f>B96*('Допущения'!$D$7+$D$11)</x:f>
        <x:v>0</x:v>
      </x:c>
      <x:c r="D95" s="98" t="n">
        <x:f>C96*('Допущения'!$D$7+$D$11)</x:f>
        <x:v>0</x:v>
      </x:c>
      <x:c r="E95" s="98" t="n">
        <x:f>D96*('Допущения'!$D$7+$D$11)</x:f>
        <x:v>0.007392000000000001</x:v>
      </x:c>
      <x:c r="F95" s="98" t="n">
        <x:f>E96*('Допущения'!$D$7+$D$11)</x:f>
        <x:v>0.018332160000000004</x:v>
      </x:c>
      <x:c r="G95" s="98" t="n">
        <x:f>F96*('Допущения'!$D$7+$D$11)</x:f>
        <x:v>0.02905351680000001</x:v>
      </x:c>
      <x:c r="H95" s="98" t="n">
        <x:f>G96*('Допущения'!$D$7+$D$11)</x:f>
        <x:v>0.043256446464000016</x:v>
      </x:c>
      <x:c r="I95" s="98" t="n">
        <x:f>H96*('Допущения'!$D$7+$D$11)</x:f>
        <x:v>0.057175317534720015</x:v>
      </x:c>
      <x:c r="J95" s="98" t="n">
        <x:f>I96*('Допущения'!$D$7+$D$11)</x:f>
        <x:v>0.07081581118402562</x:v>
      </x:c>
      <x:c r="K95" s="98" t="n">
        <x:f>J96*('Допущения'!$D$7+$D$11)</x:f>
        <x:v>0.08787949496034511</x:v>
      </x:c>
      <x:c r="L95" s="98" t="n">
        <x:f>K96*('Допущения'!$D$7+$D$11)</x:f>
        <x:v>0.10460190506113821</x:v>
      </x:c>
      <x:c r="M95" s="98" t="n">
        <x:f>L96*('Допущения'!$D$7+$D$11)</x:f>
        <x:v>0.12098986695991545</x:v>
      </x:c>
      <x:c r="N95" s="98" t="n">
        <x:f>M96*('Допущения'!$D$7+$D$11)</x:f>
        <x:v>0.13705006962071717</x:v>
      </x:c>
      <x:c r="O95" s="98" t="n">
        <x:f>N96*('Допущения'!$D$7+$D$11)</x:f>
        <x:v>0.15278906822830282</x:v>
      </x:c>
      <x:c r="P95" s="98" t="n">
        <x:f>O96*('Допущения'!$D$7+$D$11)</x:f>
        <x:v>0.16821328686373677</x:v>
      </x:c>
      <x:c r="Q95" s="98" t="n">
        <x:f>P96*('Допущения'!$D$7+$D$11)</x:f>
        <x:v>0.18702502112646205</x:v>
      </x:c>
      <x:c r="R95" s="98" t="n">
        <x:f>Q96*('Допущения'!$D$7+$D$11)</x:f>
        <x:v>0.2054605207039328</x:v>
      </x:c>
      <x:c r="S95" s="98" t="n">
        <x:f>R96*('Допущения'!$D$7+$D$11)</x:f>
        <x:v>0.22352731028985418</x:v>
      </x:c>
      <x:c r="T95" s="98" t="n">
        <x:f>S96*('Допущения'!$D$7+$D$11)</x:f>
        <x:v>0.24123276408405708</x:v>
      </x:c>
      <x:c r="U95" s="98" t="n">
        <x:f>T96*('Допущения'!$D$7+$D$11)</x:f>
        <x:v>0.258584108802376</x:v>
      </x:c>
      <x:c r="V95" s="98" t="n">
        <x:f>U96*('Допущения'!$D$7+$D$11)</x:f>
        <x:v>0.27558842662632843</x:v>
      </x:c>
      <x:c r="W95" s="98" t="n">
        <x:f>V96*('Допущения'!$D$7+$D$11)</x:f>
        <x:v>0.2922526580938019</x:v>
      </x:c>
      <x:c r="X95" s="98" t="n">
        <x:f>W96*('Допущения'!$D$7+$D$11)</x:f>
        <x:v>0.3085836049319259</x:v>
      </x:c>
      <x:c r="Y95" s="98" t="n">
        <x:f>X96*('Допущения'!$D$7+$D$11)</x:f>
        <x:v>0.3245879328332874</x:v>
      </x:c>
      <x:c r="Z95" s="98" t="n">
        <x:f>Y96*('Допущения'!$D$7+$D$11)</x:f>
        <x:v>0.3402721741766216</x:v>
      </x:c>
      <x:c r="AA95" s="98" t="n">
        <x:f>Z96*('Допущения'!$D$7+$D$11)</x:f>
        <x:v>0.3556427306930891</x:v>
      </x:c>
      <x:c r="AB95" s="98" t="n">
        <x:f>AA96*('Допущения'!$D$7+$D$11)</x:f>
        <x:v>0.37070587607922734</x:v>
      </x:c>
      <x:c r="AC95" s="98" t="n">
        <x:f>AB96*('Допущения'!$D$7+$D$11)</x:f>
        <x:v>0.4002517585576428</x:v>
      </x:c>
      <x:c r="AD95" s="98" t="n">
        <x:f>AC96*('Допущения'!$D$7+$D$11)</x:f>
        <x:v>0.42920672338648985</x:v>
      </x:c>
      <x:c r="AE95" s="98" t="n">
        <x:f>AD96*('Допущения'!$D$7+$D$11)</x:f>
        <x:v>0.45758258891876</x:v>
      </x:c>
      <x:c r="AF95" s="98" t="n">
        <x:f>AE96*('Допущения'!$D$7+$D$11)</x:f>
        <x:v>0.4853909371403848</x:v>
      </x:c>
      <x:c r="AG95" s="98" t="n">
        <x:f>AF96*('Допущения'!$D$7+$D$11)</x:f>
        <x:v>0.5126431183975771</x:v>
      </x:c>
      <x:c r="AH95" s="98" t="n">
        <x:f>AG96*('Допущения'!$D$7+$D$11)</x:f>
        <x:v>0.5393502560296256</x:v>
      </x:c>
      <x:c r="AI95" s="98" t="n">
        <x:f>AH96*('Допущения'!$D$7+$D$11)</x:f>
        <x:v>0.565523250909033</x:v>
      </x:c>
      <x:c r="AJ95" s="98" t="n">
        <x:f>AI96*('Допущения'!$D$7+$D$11)</x:f>
        <x:v>0.5911727858908523</x:v>
      </x:c>
      <x:c r="AK95" s="98" t="n">
        <x:f>AJ96*('Допущения'!$D$7+$D$11)</x:f>
        <x:v>0.6163093301730352</x:v>
      </x:c>
    </x:row>
    <x:row r="96">
      <x:c r="A96" s="32" t="str">
        <x:v>Активные клиенты Ядра QORSYS</x:v>
      </x:c>
      <x:c r="B96" s="98" t="n">
        <x:f>B94</x:f>
        <x:v>0</x:v>
      </x:c>
      <x:c r="C96" s="98" t="n">
        <x:f>MAX(0,B96+C94-C95)</x:f>
        <x:v>0</x:v>
      </x:c>
      <x:c r="D96" s="98" t="n">
        <x:f>MAX(0,C96+D94-D95)</x:f>
        <x:v>0.36960000000000004</x:v>
      </x:c>
      <x:c r="E96" s="98" t="n">
        <x:f>MAX(0,D96+E94-E95)</x:f>
        <x:v>0.9166080000000002</x:v>
      </x:c>
      <x:c r="F96" s="98" t="n">
        <x:f>MAX(0,E96+F94-F95)</x:f>
        <x:v>1.4526758400000004</x:v>
      </x:c>
      <x:c r="G96" s="98" t="n">
        <x:f>MAX(0,F96+G94-G95)</x:f>
        <x:v>2.162822323200001</x:v>
      </x:c>
      <x:c r="H96" s="98" t="n">
        <x:f>MAX(0,G96+H94-H95)</x:f>
        <x:v>2.8587658767360007</x:v>
      </x:c>
      <x:c r="I96" s="98" t="n">
        <x:f>MAX(0,H96+I94-I95)</x:f>
        <x:v>3.5407905592012807</x:v>
      </x:c>
      <x:c r="J96" s="98" t="n">
        <x:f>MAX(0,I96+J94-J95)</x:f>
        <x:v>4.393974748017255</x:v>
      </x:c>
      <x:c r="K96" s="98" t="n">
        <x:f>MAX(0,J96+K94-K95)</x:f>
        <x:v>5.230095253056911</x:v>
      </x:c>
      <x:c r="L96" s="98" t="n">
        <x:f>MAX(0,K96+L94-L95)</x:f>
        <x:v>6.049493347995773</x:v>
      </x:c>
      <x:c r="M96" s="98" t="n">
        <x:f>MAX(0,L96+M94-M95)</x:f>
        <x:v>6.852503481035858</x:v>
      </x:c>
      <x:c r="N96" s="98" t="n">
        <x:f>MAX(0,M96+N94-N95)</x:f>
        <x:v>7.639453411415141</x:v>
      </x:c>
      <x:c r="O96" s="98" t="n">
        <x:f>MAX(0,N96+O94-O95)</x:f>
        <x:v>8.410664343186838</x:v>
      </x:c>
      <x:c r="P96" s="98" t="n">
        <x:f>MAX(0,O96+P94-P95)</x:f>
        <x:v>9.351251056323102</x:v>
      </x:c>
      <x:c r="Q96" s="98" t="n">
        <x:f>MAX(0,P96+Q94-Q95)</x:f>
        <x:v>10.27302603519664</x:v>
      </x:c>
      <x:c r="R96" s="98" t="n">
        <x:f>MAX(0,Q96+R94-R95)</x:f>
        <x:v>11.176365514492709</x:v>
      </x:c>
      <x:c r="S96" s="98" t="n">
        <x:f>MAX(0,R96+S94-S95)</x:f>
        <x:v>12.061638204202854</x:v>
      </x:c>
      <x:c r="T96" s="98" t="n">
        <x:f>MAX(0,S96+T94-T95)</x:f>
        <x:v>12.929205440118798</x:v>
      </x:c>
      <x:c r="U96" s="98" t="n">
        <x:f>MAX(0,T96+U94-U95)</x:f>
        <x:v>13.779421331316422</x:v>
      </x:c>
      <x:c r="V96" s="98" t="n">
        <x:f>MAX(0,U96+V94-V95)</x:f>
        <x:v>14.612632904690095</x:v>
      </x:c>
      <x:c r="W96" s="98" t="n">
        <x:f>MAX(0,V96+W94-W95)</x:f>
        <x:v>15.429180246596294</x:v>
      </x:c>
      <x:c r="X96" s="98" t="n">
        <x:f>MAX(0,W96+X94-X95)</x:f>
        <x:v>16.22939664166437</x:v>
      </x:c>
      <x:c r="Y96" s="98" t="n">
        <x:f>MAX(0,X96+Y94-Y95)</x:f>
        <x:v>17.01360870883108</x:v>
      </x:c>
      <x:c r="Z96" s="98" t="n">
        <x:f>MAX(0,Y96+Z94-Z95)</x:f>
        <x:v>17.782136534654455</x:v>
      </x:c>
      <x:c r="AA96" s="98" t="n">
        <x:f>MAX(0,Z96+AA94-AA95)</x:f>
        <x:v>18.535293803961366</x:v>
      </x:c>
      <x:c r="AB96" s="98" t="n">
        <x:f>MAX(0,AA96+AB94-AB95)</x:f>
        <x:v>20.012587927882137</x:v>
      </x:c>
      <x:c r="AC96" s="98" t="n">
        <x:f>MAX(0,AB96+AC94-AC95)</x:f>
        <x:v>21.460336169324492</x:v>
      </x:c>
      <x:c r="AD96" s="98" t="n">
        <x:f>MAX(0,AC96+AD94-AD95)</x:f>
        <x:v>22.879129445938002</x:v>
      </x:c>
      <x:c r="AE96" s="98" t="n">
        <x:f>MAX(0,AD96+AE94-AE95)</x:f>
        <x:v>24.26954685701924</x:v>
      </x:c>
      <x:c r="AF96" s="98" t="n">
        <x:f>MAX(0,AE96+AF94-AF95)</x:f>
        <x:v>25.632155919878855</x:v>
      </x:c>
      <x:c r="AG96" s="98" t="n">
        <x:f>MAX(0,AF96+AG94-AG95)</x:f>
        <x:v>26.967512801481277</x:v>
      </x:c>
      <x:c r="AH96" s="98" t="n">
        <x:f>MAX(0,AG96+AH94-AH95)</x:f>
        <x:v>28.27616254545165</x:v>
      </x:c>
      <x:c r="AI96" s="98" t="n">
        <x:f>MAX(0,AH96+AI94-AI95)</x:f>
        <x:v>29.558639294542616</x:v>
      </x:c>
      <x:c r="AJ96" s="98" t="n">
        <x:f>MAX(0,AI96+AJ94-AJ95)</x:f>
        <x:v>30.815466508651763</x:v>
      </x:c>
      <x:c r="AK96" s="98" t="n">
        <x:f>MAX(0,AJ96+AK94-AK95)</x:f>
        <x:v>32.04715717847873</x:v>
      </x:c>
    </x:row>
    <x:row r="97">
      <x:c r="A97" s="32" t="str">
        <x:v>Выручка лицензий, ₽</x:v>
      </x:c>
      <x:c r="B97" s="55" t="n">
        <x:f>B96*'Допущения'!$D$8*$D$8</x:f>
        <x:v>0</x:v>
      </x:c>
      <x:c r="C97" s="55" t="n">
        <x:f>C96*'Допущения'!$D$8*$D$8</x:f>
        <x:v>0</x:v>
      </x:c>
      <x:c r="D97" s="55" t="n">
        <x:f>D96*'Допущения'!$D$8*$D$8</x:f>
        <x:v>83160.00000000001</x:v>
      </x:c>
      <x:c r="E97" s="55" t="n">
        <x:f>E96*'Допущения'!$D$8*$D$8</x:f>
        <x:v>206236.80000000005</x:v>
      </x:c>
      <x:c r="F97" s="55" t="n">
        <x:f>F96*'Допущения'!$D$8*$D$8</x:f>
        <x:v>326852.0640000001</x:v>
      </x:c>
      <x:c r="G97" s="55" t="n">
        <x:f>G96*'Допущения'!$D$8*$D$8</x:f>
        <x:v>486635.02272000024</x:v>
      </x:c>
      <x:c r="H97" s="55" t="n">
        <x:f>H96*'Допущения'!$D$8*$D$8</x:f>
        <x:v>643222.3222656002</x:v>
      </x:c>
      <x:c r="I97" s="55" t="n">
        <x:f>I96*'Допущения'!$D$8*$D$8</x:f>
        <x:v>796677.8758202882</x:v>
      </x:c>
      <x:c r="J97" s="55" t="n">
        <x:f>J96*'Допущения'!$D$8*$D$8</x:f>
        <x:v>988644.3183038825</x:v>
      </x:c>
      <x:c r="K97" s="55" t="n">
        <x:f>K96*'Допущения'!$D$8*$D$8</x:f>
        <x:v>1176771.431937805</x:v>
      </x:c>
      <x:c r="L97" s="55" t="n">
        <x:f>L96*'Допущения'!$D$8*$D$8</x:f>
        <x:v>1361136.0032990489</x:v>
      </x:c>
      <x:c r="M97" s="55" t="n">
        <x:f>M96*'Допущения'!$D$8*$D$8</x:f>
        <x:v>1541813.283233068</x:v>
      </x:c>
      <x:c r="N97" s="55" t="n">
        <x:f>N96*'Допущения'!$D$8*$D$8</x:f>
        <x:v>1718877.0175684069</x:v>
      </x:c>
      <x:c r="O97" s="55" t="n">
        <x:f>O96*'Допущения'!$D$8*$D$8</x:f>
        <x:v>1892399.4772170386</x:v>
      </x:c>
      <x:c r="P97" s="55" t="n">
        <x:f>P96*'Допущения'!$D$8*$D$8</x:f>
        <x:v>2104031.4876726978</x:v>
      </x:c>
      <x:c r="Q97" s="55" t="n">
        <x:f>Q96*'Допущения'!$D$8*$D$8</x:f>
        <x:v>2311430.857919244</x:v>
      </x:c>
      <x:c r="R97" s="55" t="n">
        <x:f>R96*'Допущения'!$D$8*$D$8</x:f>
        <x:v>2514682.2407608596</x:v>
      </x:c>
      <x:c r="S97" s="55" t="n">
        <x:f>S96*'Допущения'!$D$8*$D$8</x:f>
        <x:v>2713868.595945642</x:v>
      </x:c>
      <x:c r="T97" s="55" t="n">
        <x:f>T96*'Допущения'!$D$8*$D$8</x:f>
        <x:v>2909071.2240267294</x:v>
      </x:c>
      <x:c r="U97" s="55" t="n">
        <x:f>U96*'Допущения'!$D$8*$D$8</x:f>
        <x:v>3100369.799546195</x:v>
      </x:c>
      <x:c r="V97" s="55" t="n">
        <x:f>V96*'Допущения'!$D$8*$D$8</x:f>
        <x:v>3287842.403555271</x:v>
      </x:c>
      <x:c r="W97" s="55" t="n">
        <x:f>W96*'Допущения'!$D$8*$D$8</x:f>
        <x:v>3471565.555484166</x:v>
      </x:c>
      <x:c r="X97" s="55" t="n">
        <x:f>X96*'Допущения'!$D$8*$D$8</x:f>
        <x:v>3651614.244374483</x:v>
      </x:c>
      <x:c r="Y97" s="55" t="n">
        <x:f>Y96*'Допущения'!$D$8*$D$8</x:f>
        <x:v>3828061.959486993</x:v>
      </x:c>
      <x:c r="Z97" s="55" t="n">
        <x:f>Z96*'Допущения'!$D$8*$D$8</x:f>
        <x:v>4000980.7202972528</x:v>
      </x:c>
      <x:c r="AA97" s="55" t="n">
        <x:f>AA96*'Допущения'!$D$8*$D$8</x:f>
        <x:v>4170441.1058913074</x:v>
      </x:c>
      <x:c r="AB97" s="55" t="n">
        <x:f>AB96*'Допущения'!$D$8*$D$8</x:f>
        <x:v>4502832.283773481</x:v>
      </x:c>
      <x:c r="AC97" s="55" t="n">
        <x:f>AC96*'Допущения'!$D$8*$D$8</x:f>
        <x:v>4828575.638098011</x:v>
      </x:c>
      <x:c r="AD97" s="55" t="n">
        <x:f>AD96*'Допущения'!$D$8*$D$8</x:f>
        <x:v>5147804.125336051</x:v>
      </x:c>
      <x:c r="AE97" s="55" t="n">
        <x:f>AE96*'Допущения'!$D$8*$D$8</x:f>
        <x:v>5460648.042829329</x:v>
      </x:c>
      <x:c r="AF97" s="55" t="n">
        <x:f>AF96*'Допущения'!$D$8*$D$8</x:f>
        <x:v>5767235.081972742</x:v>
      </x:c>
      <x:c r="AG97" s="55" t="n">
        <x:f>AG96*'Допущения'!$D$8*$D$8</x:f>
        <x:v>6067690.380333288</x:v>
      </x:c>
      <x:c r="AH97" s="55" t="n">
        <x:f>AH96*'Допущения'!$D$8*$D$8</x:f>
        <x:v>6362136.572726622</x:v>
      </x:c>
      <x:c r="AI97" s="55" t="n">
        <x:f>AI96*'Допущения'!$D$8*$D$8</x:f>
        <x:v>6650693.841272089</x:v>
      </x:c>
      <x:c r="AJ97" s="55" t="n">
        <x:f>AJ96*'Допущения'!$D$8*$D$8</x:f>
        <x:v>6933479.964446647</x:v>
      </x:c>
      <x:c r="AK97" s="55" t="n">
        <x:f>AK96*'Допущения'!$D$8*$D$8</x:f>
        <x:v>7210610.365157714</x:v>
      </x:c>
    </x:row>
    <x:row r="98">
      <x:c r="A98" s="32" t="str">
        <x:v>Выручка оптимизаций, ₽</x:v>
      </x:c>
      <x:c r="B98" s="55" t="n">
        <x:f>B93*'Допущения'!$D$9*$D$8</x:f>
        <x:v>779625</x:v>
      </x:c>
      <x:c r="C98" s="55" t="n">
        <x:f>C93*'Допущения'!$D$9*$D$8</x:f>
        <x:v>1169437.5</x:v>
      </x:c>
      <x:c r="D98" s="55" t="n">
        <x:f>D93*'Допущения'!$D$9*$D$8</x:f>
        <x:v>1169437.5</x:v>
      </x:c>
      <x:c r="E98" s="55" t="n">
        <x:f>E93*'Допущения'!$D$9*$D$8</x:f>
        <x:v>1559250</x:v>
      </x:c>
      <x:c r="F98" s="55" t="n">
        <x:f>F93*'Допущения'!$D$9*$D$8</x:f>
        <x:v>1559250</x:v>
      </x:c>
      <x:c r="G98" s="55" t="n">
        <x:f>G93*'Допущения'!$D$9*$D$8</x:f>
        <x:v>1559250</x:v>
      </x:c>
      <x:c r="H98" s="55" t="n">
        <x:f>H93*'Допущения'!$D$9*$D$8</x:f>
        <x:v>1949062.5</x:v>
      </x:c>
      <x:c r="I98" s="55" t="n">
        <x:f>I93*'Допущения'!$D$9*$D$8</x:f>
        <x:v>1949062.5</x:v>
      </x:c>
      <x:c r="J98" s="55" t="n">
        <x:f>J93*'Допущения'!$D$9*$D$8</x:f>
        <x:v>1949062.5</x:v>
      </x:c>
      <x:c r="K98" s="55" t="n">
        <x:f>K93*'Допущения'!$D$9*$D$8</x:f>
        <x:v>1949062.5</x:v>
      </x:c>
      <x:c r="L98" s="55" t="n">
        <x:f>L93*'Допущения'!$D$9*$D$8</x:f>
        <x:v>1949062.5</x:v>
      </x:c>
      <x:c r="M98" s="55" t="n">
        <x:f>M93*'Допущения'!$D$9*$D$8</x:f>
        <x:v>1949062.5</x:v>
      </x:c>
      <x:c r="N98" s="55" t="n">
        <x:f>N93*'Допущения'!$D$9*$D$8</x:f>
        <x:v>2338875</x:v>
      </x:c>
      <x:c r="O98" s="55" t="n">
        <x:f>O93*'Допущения'!$D$9*$D$8</x:f>
        <x:v>2338875</x:v>
      </x:c>
      <x:c r="P98" s="55" t="n">
        <x:f>P93*'Допущения'!$D$9*$D$8</x:f>
        <x:v>2338875</x:v>
      </x:c>
      <x:c r="Q98" s="55" t="n">
        <x:f>Q93*'Допущения'!$D$9*$D$8</x:f>
        <x:v>2338875</x:v>
      </x:c>
      <x:c r="R98" s="55" t="n">
        <x:f>R93*'Допущения'!$D$9*$D$8</x:f>
        <x:v>2338875</x:v>
      </x:c>
      <x:c r="S98" s="55" t="n">
        <x:f>S93*'Допущения'!$D$9*$D$8</x:f>
        <x:v>2338875</x:v>
      </x:c>
      <x:c r="T98" s="55" t="n">
        <x:f>T93*'Допущения'!$D$9*$D$8</x:f>
        <x:v>2338875</x:v>
      </x:c>
      <x:c r="U98" s="55" t="n">
        <x:f>U93*'Допущения'!$D$9*$D$8</x:f>
        <x:v>2338875</x:v>
      </x:c>
      <x:c r="V98" s="55" t="n">
        <x:f>V93*'Допущения'!$D$9*$D$8</x:f>
        <x:v>2338875</x:v>
      </x:c>
      <x:c r="W98" s="55" t="n">
        <x:f>W93*'Допущения'!$D$9*$D$8</x:f>
        <x:v>2338875</x:v>
      </x:c>
      <x:c r="X98" s="55" t="n">
        <x:f>X93*'Допущения'!$D$9*$D$8</x:f>
        <x:v>2338875</x:v>
      </x:c>
      <x:c r="Y98" s="55" t="n">
        <x:f>Y93*'Допущения'!$D$9*$D$8</x:f>
        <x:v>2338875</x:v>
      </x:c>
      <x:c r="Z98" s="55" t="n">
        <x:f>Z93*'Допущения'!$D$9*$D$8</x:f>
        <x:v>3898125</x:v>
      </x:c>
      <x:c r="AA98" s="55" t="n">
        <x:f>AA93*'Допущения'!$D$9*$D$8</x:f>
        <x:v>3898125</x:v>
      </x:c>
      <x:c r="AB98" s="55" t="n">
        <x:f>AB93*'Допущения'!$D$9*$D$8</x:f>
        <x:v>3898125</x:v>
      </x:c>
      <x:c r="AC98" s="55" t="n">
        <x:f>AC93*'Допущения'!$D$9*$D$8</x:f>
        <x:v>3898125</x:v>
      </x:c>
      <x:c r="AD98" s="55" t="n">
        <x:f>AD93*'Допущения'!$D$9*$D$8</x:f>
        <x:v>3898125</x:v>
      </x:c>
      <x:c r="AE98" s="55" t="n">
        <x:f>AE93*'Допущения'!$D$9*$D$8</x:f>
        <x:v>3898125</x:v>
      </x:c>
      <x:c r="AF98" s="55" t="n">
        <x:f>AF93*'Допущения'!$D$9*$D$8</x:f>
        <x:v>3898125</x:v>
      </x:c>
      <x:c r="AG98" s="55" t="n">
        <x:f>AG93*'Допущения'!$D$9*$D$8</x:f>
        <x:v>3898125</x:v>
      </x:c>
      <x:c r="AH98" s="55" t="n">
        <x:f>AH93*'Допущения'!$D$9*$D$8</x:f>
        <x:v>3898125</x:v>
      </x:c>
      <x:c r="AI98" s="55" t="n">
        <x:f>AI93*'Допущения'!$D$9*$D$8</x:f>
        <x:v>3898125</x:v>
      </x:c>
      <x:c r="AJ98" s="55" t="n">
        <x:f>AJ93*'Допущения'!$D$9*$D$8</x:f>
        <x:v>3898125</x:v>
      </x:c>
      <x:c r="AK98" s="55" t="n">
        <x:f>AK93*'Допущения'!$D$9*$D$8</x:f>
        <x:v>3898125</x:v>
      </x:c>
    </x:row>
    <x:row r="99">
      <x:c r="A99" s="32" t="str">
        <x:v>Итого выручка, ₽</x:v>
      </x:c>
      <x:c r="B99" s="55" t="n">
        <x:f>SUM(B97:B98)</x:f>
        <x:v>779625</x:v>
      </x:c>
      <x:c r="C99" s="55" t="n">
        <x:f>SUM(C97:C98)</x:f>
        <x:v>1169437.5</x:v>
      </x:c>
      <x:c r="D99" s="55" t="n">
        <x:f>SUM(D97:D98)</x:f>
        <x:v>1252597.5</x:v>
      </x:c>
      <x:c r="E99" s="55" t="n">
        <x:f>SUM(E97:E98)</x:f>
        <x:v>1765486.8</x:v>
      </x:c>
      <x:c r="F99" s="55" t="n">
        <x:f>SUM(F97:F98)</x:f>
        <x:v>1886102.064</x:v>
      </x:c>
      <x:c r="G99" s="55" t="n">
        <x:f>SUM(G97:G98)</x:f>
        <x:v>2045885.0227200002</x:v>
      </x:c>
      <x:c r="H99" s="55" t="n">
        <x:f>SUM(H97:H98)</x:f>
        <x:v>2592284.8222656003</x:v>
      </x:c>
      <x:c r="I99" s="55" t="n">
        <x:f>SUM(I97:I98)</x:f>
        <x:v>2745740.3758202884</x:v>
      </x:c>
      <x:c r="J99" s="55" t="n">
        <x:f>SUM(J97:J98)</x:f>
        <x:v>2937706.8183038826</x:v>
      </x:c>
      <x:c r="K99" s="55" t="n">
        <x:f>SUM(K97:K98)</x:f>
        <x:v>3125833.931937805</x:v>
      </x:c>
      <x:c r="L99" s="55" t="n">
        <x:f>SUM(L97:L98)</x:f>
        <x:v>3310198.503299049</x:v>
      </x:c>
      <x:c r="M99" s="55" t="n">
        <x:f>SUM(M97:M98)</x:f>
        <x:v>3490875.783233068</x:v>
      </x:c>
      <x:c r="N99" s="55" t="n">
        <x:f>SUM(N97:N98)</x:f>
        <x:v>4057752.0175684066</x:v>
      </x:c>
      <x:c r="O99" s="55" t="n">
        <x:f>SUM(O97:O98)</x:f>
        <x:v>4231274.477217039</x:v>
      </x:c>
      <x:c r="P99" s="55" t="n">
        <x:f>SUM(P97:P98)</x:f>
        <x:v>4442906.487672698</x:v>
      </x:c>
      <x:c r="Q99" s="55" t="n">
        <x:f>SUM(Q97:Q98)</x:f>
        <x:v>4650305.857919244</x:v>
      </x:c>
      <x:c r="R99" s="55" t="n">
        <x:f>SUM(R97:R98)</x:f>
        <x:v>4853557.240760859</x:v>
      </x:c>
      <x:c r="S99" s="55" t="n">
        <x:f>SUM(S97:S98)</x:f>
        <x:v>5052743.595945641</x:v>
      </x:c>
      <x:c r="T99" s="55" t="n">
        <x:f>SUM(T97:T98)</x:f>
        <x:v>5247946.224026729</x:v>
      </x:c>
      <x:c r="U99" s="55" t="n">
        <x:f>SUM(U97:U98)</x:f>
        <x:v>5439244.799546195</x:v>
      </x:c>
      <x:c r="V99" s="55" t="n">
        <x:f>SUM(V97:V98)</x:f>
        <x:v>5626717.403555271</x:v>
      </x:c>
      <x:c r="W99" s="55" t="n">
        <x:f>SUM(W97:W98)</x:f>
        <x:v>5810440.555484166</x:v>
      </x:c>
      <x:c r="X99" s="55" t="n">
        <x:f>SUM(X97:X98)</x:f>
        <x:v>5990489.244374483</x:v>
      </x:c>
      <x:c r="Y99" s="55" t="n">
        <x:f>SUM(Y97:Y98)</x:f>
        <x:v>6166936.959486993</x:v>
      </x:c>
      <x:c r="Z99" s="55" t="n">
        <x:f>SUM(Z97:Z98)</x:f>
        <x:v>7899105.720297253</x:v>
      </x:c>
      <x:c r="AA99" s="55" t="n">
        <x:f>SUM(AA97:AA98)</x:f>
        <x:v>8068566.105891308</x:v>
      </x:c>
      <x:c r="AB99" s="55" t="n">
        <x:f>SUM(AB97:AB98)</x:f>
        <x:v>8400957.283773482</x:v>
      </x:c>
      <x:c r="AC99" s="55" t="n">
        <x:f>SUM(AC97:AC98)</x:f>
        <x:v>8726700.63809801</x:v>
      </x:c>
      <x:c r="AD99" s="55" t="n">
        <x:f>SUM(AD97:AD98)</x:f>
        <x:v>9045929.125336051</x:v>
      </x:c>
      <x:c r="AE99" s="55" t="n">
        <x:f>SUM(AE97:AE98)</x:f>
        <x:v>9358773.04282933</x:v>
      </x:c>
      <x:c r="AF99" s="55" t="n">
        <x:f>SUM(AF97:AF98)</x:f>
        <x:v>9665360.081972742</x:v>
      </x:c>
      <x:c r="AG99" s="55" t="n">
        <x:f>SUM(AG97:AG98)</x:f>
        <x:v>9965815.380333288</x:v>
      </x:c>
      <x:c r="AH99" s="55" t="n">
        <x:f>SUM(AH97:AH98)</x:f>
        <x:v>10260261.572726622</x:v>
      </x:c>
      <x:c r="AI99" s="55" t="n">
        <x:f>SUM(AI97:AI98)</x:f>
        <x:v>10548818.84127209</x:v>
      </x:c>
      <x:c r="AJ99" s="55" t="n">
        <x:f>SUM(AJ97:AJ98)</x:f>
        <x:v>10831604.964446647</x:v>
      </x:c>
      <x:c r="AK99" s="55" t="n">
        <x:f>SUM(AK97:AK98)</x:f>
        <x:v>11108735.365157714</x:v>
      </x:c>
    </x:row>
    <x:row r="100">
      <x:c r="A100" s="32" t="str">
        <x:v>Себестоимость аудитов, ₽</x:v>
      </x:c>
      <x:c r="B100" s="55" t="n">
        <x:f>B92*'Допущения'!$D$10*$D$9*(1-'Допущения'!$D$11)^0</x:f>
        <x:v>351000</x:v>
      </x:c>
      <x:c r="C100" s="55" t="n">
        <x:f>C92*'Допущения'!$D$10*$D$9*(1-'Допущения'!$D$11)^0</x:f>
        <x:v>526500</x:v>
      </x:c>
      <x:c r="D100" s="55" t="n">
        <x:f>D92*'Допущения'!$D$10*$D$9*(1-'Допущения'!$D$11)^0</x:f>
        <x:v>526500</x:v>
      </x:c>
      <x:c r="E100" s="55" t="n">
        <x:f>E92*'Допущения'!$D$10*$D$9*(1-'Допущения'!$D$11)^1</x:f>
        <x:v>645840</x:v>
      </x:c>
      <x:c r="F100" s="55" t="n">
        <x:f>F92*'Допущения'!$D$10*$D$9*(1-'Допущения'!$D$11)^1</x:f>
        <x:v>645840</x:v>
      </x:c>
      <x:c r="G100" s="55" t="n">
        <x:f>G92*'Допущения'!$D$10*$D$9*(1-'Допущения'!$D$11)^1</x:f>
        <x:v>645840</x:v>
      </x:c>
      <x:c r="H100" s="55" t="n">
        <x:f>H92*'Допущения'!$D$10*$D$9*(1-'Допущения'!$D$11)^2</x:f>
        <x:v>742716</x:v>
      </x:c>
      <x:c r="I100" s="55" t="n">
        <x:f>I92*'Допущения'!$D$10*$D$9*(1-'Допущения'!$D$11)^2</x:f>
        <x:v>742716</x:v>
      </x:c>
      <x:c r="J100" s="55" t="n">
        <x:f>J92*'Допущения'!$D$10*$D$9*(1-'Допущения'!$D$11)^2</x:f>
        <x:v>742716</x:v>
      </x:c>
      <x:c r="K100" s="55" t="n">
        <x:f>K92*'Допущения'!$D$10*$D$9*(1-'Допущения'!$D$11)^3</x:f>
        <x:v>683298.7200000001</x:v>
      </x:c>
      <x:c r="L100" s="55" t="n">
        <x:f>L92*'Допущения'!$D$10*$D$9*(1-'Допущения'!$D$11)^3</x:f>
        <x:v>683298.7200000001</x:v>
      </x:c>
      <x:c r="M100" s="55" t="n">
        <x:f>M92*'Допущения'!$D$10*$D$9*(1-'Допущения'!$D$11)^3</x:f>
        <x:v>683298.7200000001</x:v>
      </x:c>
      <x:c r="N100" s="55" t="n">
        <x:f>N92*'Допущения'!$D$10*$D$9*(1-'Допущения'!$D$11)^4</x:f>
        <x:v>754361.78688</x:v>
      </x:c>
      <x:c r="O100" s="55" t="n">
        <x:f>O92*'Допущения'!$D$10*$D$9*(1-'Допущения'!$D$11)^4</x:f>
        <x:v>754361.78688</x:v>
      </x:c>
      <x:c r="P100" s="55" t="n">
        <x:f>P92*'Допущения'!$D$10*$D$9*(1-'Допущения'!$D$11)^4</x:f>
        <x:v>754361.78688</x:v>
      </x:c>
      <x:c r="Q100" s="55" t="n">
        <x:f>Q92*'Допущения'!$D$10*$D$9*(1-'Допущения'!$D$11)^5</x:f>
        <x:v>694012.8439296001</x:v>
      </x:c>
      <x:c r="R100" s="55" t="n">
        <x:f>R92*'Допущения'!$D$10*$D$9*(1-'Допущения'!$D$11)^5</x:f>
        <x:v>694012.8439296001</x:v>
      </x:c>
      <x:c r="S100" s="55" t="n">
        <x:f>S92*'Допущения'!$D$10*$D$9*(1-'Допущения'!$D$11)^5</x:f>
        <x:v>694012.8439296001</x:v>
      </x:c>
      <x:c r="T100" s="55" t="n">
        <x:f>T92*'Допущения'!$D$10*$D$9*(1-'Допущения'!$D$11)^6</x:f>
        <x:v>638491.8164152321</x:v>
      </x:c>
      <x:c r="U100" s="55" t="n">
        <x:f>U92*'Допущения'!$D$10*$D$9*(1-'Допущения'!$D$11)^6</x:f>
        <x:v>638491.8164152321</x:v>
      </x:c>
      <x:c r="V100" s="55" t="n">
        <x:f>V92*'Допущения'!$D$10*$D$9*(1-'Допущения'!$D$11)^6</x:f>
        <x:v>638491.8164152321</x:v>
      </x:c>
      <x:c r="W100" s="55" t="n">
        <x:f>W92*'Допущения'!$D$10*$D$9*(1-'Допущения'!$D$11)^7</x:f>
        <x:v>587412.4711020136</x:v>
      </x:c>
      <x:c r="X100" s="55" t="n">
        <x:f>X92*'Допущения'!$D$10*$D$9*(1-'Допущения'!$D$11)^7</x:f>
        <x:v>587412.4711020136</x:v>
      </x:c>
      <x:c r="Y100" s="55" t="n">
        <x:f>Y92*'Допущения'!$D$10*$D$9*(1-'Допущения'!$D$11)^7</x:f>
        <x:v>587412.4711020136</x:v>
      </x:c>
      <x:c r="Z100" s="55" t="n">
        <x:f>Z92*'Допущения'!$D$10*$D$9*(1-'Допущения'!$D$11)^8</x:f>
        <x:v>900699.1223564208</x:v>
      </x:c>
      <x:c r="AA100" s="55" t="n">
        <x:f>AA92*'Допущения'!$D$10*$D$9*(1-'Допущения'!$D$11)^8</x:f>
        <x:v>900699.1223564208</x:v>
      </x:c>
      <x:c r="AB100" s="55" t="n">
        <x:f>AB92*'Допущения'!$D$10*$D$9*(1-'Допущения'!$D$11)^8</x:f>
        <x:v>900699.1223564208</x:v>
      </x:c>
      <x:c r="AC100" s="55" t="n">
        <x:f>AC92*'Допущения'!$D$10*$D$9*(1-'Допущения'!$D$11)^9</x:f>
        <x:v>828643.1925679073</x:v>
      </x:c>
      <x:c r="AD100" s="55" t="n">
        <x:f>AD92*'Допущения'!$D$10*$D$9*(1-'Допущения'!$D$11)^9</x:f>
        <x:v>828643.1925679073</x:v>
      </x:c>
      <x:c r="AE100" s="55" t="n">
        <x:f>AE92*'Допущения'!$D$10*$D$9*(1-'Допущения'!$D$11)^9</x:f>
        <x:v>828643.1925679073</x:v>
      </x:c>
      <x:c r="AF100" s="55" t="n">
        <x:f>AF92*'Допущения'!$D$10*$D$9*(1-'Допущения'!$D$11)^10</x:f>
        <x:v>762351.7371624747</x:v>
      </x:c>
      <x:c r="AG100" s="55" t="n">
        <x:f>AG92*'Допущения'!$D$10*$D$9*(1-'Допущения'!$D$11)^10</x:f>
        <x:v>762351.7371624747</x:v>
      </x:c>
      <x:c r="AH100" s="55" t="n">
        <x:f>AH92*'Допущения'!$D$10*$D$9*(1-'Допущения'!$D$11)^10</x:f>
        <x:v>762351.7371624747</x:v>
      </x:c>
      <x:c r="AI100" s="55" t="n">
        <x:f>AI92*'Допущения'!$D$10*$D$9*(1-'Допущения'!$D$11)^11</x:f>
        <x:v>701363.5981894768</x:v>
      </x:c>
      <x:c r="AJ100" s="55" t="n">
        <x:f>AJ92*'Допущения'!$D$10*$D$9*(1-'Допущения'!$D$11)^11</x:f>
        <x:v>701363.5981894768</x:v>
      </x:c>
      <x:c r="AK100" s="55" t="n">
        <x:f>AK92*'Допущения'!$D$10*$D$9*(1-'Допущения'!$D$11)^11</x:f>
        <x:v>701363.5981894768</x:v>
      </x:c>
    </x:row>
    <x:row r="101">
      <x:c r="A101" s="32" t="str">
        <x:v>Себестоимость оптимизаций, ₽</x:v>
      </x:c>
      <x:c r="B101" s="55" t="n">
        <x:f>B93*'Допущения'!$D$18*$D$10</x:f>
        <x:v>252656.25</x:v>
      </x:c>
      <x:c r="C101" s="55" t="n">
        <x:f>C93*'Допущения'!$D$18*$D$10</x:f>
        <x:v>378984.375</x:v>
      </x:c>
      <x:c r="D101" s="55" t="n">
        <x:f>D93*'Допущения'!$D$18*$D$10</x:f>
        <x:v>378984.375</x:v>
      </x:c>
      <x:c r="E101" s="55" t="n">
        <x:f>E93*'Допущения'!$D$18*$D$10</x:f>
        <x:v>505312.5</x:v>
      </x:c>
      <x:c r="F101" s="55" t="n">
        <x:f>F93*'Допущения'!$D$18*$D$10</x:f>
        <x:v>505312.5</x:v>
      </x:c>
      <x:c r="G101" s="55" t="n">
        <x:f>G93*'Допущения'!$D$18*$D$10</x:f>
        <x:v>505312.5</x:v>
      </x:c>
      <x:c r="H101" s="55" t="n">
        <x:f>H93*'Допущения'!$D$18*$D$10</x:f>
        <x:v>631640.6249999999</x:v>
      </x:c>
      <x:c r="I101" s="55" t="n">
        <x:f>I93*'Допущения'!$D$18*$D$10</x:f>
        <x:v>631640.6249999999</x:v>
      </x:c>
      <x:c r="J101" s="55" t="n">
        <x:f>J93*'Допущения'!$D$18*$D$10</x:f>
        <x:v>631640.6249999999</x:v>
      </x:c>
      <x:c r="K101" s="55" t="n">
        <x:f>K93*'Допущения'!$D$18*$D$10</x:f>
        <x:v>631640.6249999999</x:v>
      </x:c>
      <x:c r="L101" s="55" t="n">
        <x:f>L93*'Допущения'!$D$18*$D$10</x:f>
        <x:v>631640.6249999999</x:v>
      </x:c>
      <x:c r="M101" s="55" t="n">
        <x:f>M93*'Допущения'!$D$18*$D$10</x:f>
        <x:v>631640.6249999999</x:v>
      </x:c>
      <x:c r="N101" s="55" t="n">
        <x:f>N93*'Допущения'!$D$18*$D$10</x:f>
        <x:v>757968.75</x:v>
      </x:c>
      <x:c r="O101" s="55" t="n">
        <x:f>O93*'Допущения'!$D$18*$D$10</x:f>
        <x:v>757968.75</x:v>
      </x:c>
      <x:c r="P101" s="55" t="n">
        <x:f>P93*'Допущения'!$D$18*$D$10</x:f>
        <x:v>757968.75</x:v>
      </x:c>
      <x:c r="Q101" s="55" t="n">
        <x:f>Q93*'Допущения'!$D$18*$D$10</x:f>
        <x:v>757968.75</x:v>
      </x:c>
      <x:c r="R101" s="55" t="n">
        <x:f>R93*'Допущения'!$D$18*$D$10</x:f>
        <x:v>757968.75</x:v>
      </x:c>
      <x:c r="S101" s="55" t="n">
        <x:f>S93*'Допущения'!$D$18*$D$10</x:f>
        <x:v>757968.75</x:v>
      </x:c>
      <x:c r="T101" s="55" t="n">
        <x:f>T93*'Допущения'!$D$18*$D$10</x:f>
        <x:v>757968.75</x:v>
      </x:c>
      <x:c r="U101" s="55" t="n">
        <x:f>U93*'Допущения'!$D$18*$D$10</x:f>
        <x:v>757968.75</x:v>
      </x:c>
      <x:c r="V101" s="55" t="n">
        <x:f>V93*'Допущения'!$D$18*$D$10</x:f>
        <x:v>757968.75</x:v>
      </x:c>
      <x:c r="W101" s="55" t="n">
        <x:f>W93*'Допущения'!$D$18*$D$10</x:f>
        <x:v>757968.75</x:v>
      </x:c>
      <x:c r="X101" s="55" t="n">
        <x:f>X93*'Допущения'!$D$18*$D$10</x:f>
        <x:v>757968.75</x:v>
      </x:c>
      <x:c r="Y101" s="55" t="n">
        <x:f>Y93*'Допущения'!$D$18*$D$10</x:f>
        <x:v>757968.75</x:v>
      </x:c>
      <x:c r="Z101" s="55" t="n">
        <x:f>Z93*'Допущения'!$D$18*$D$10</x:f>
        <x:v>1263281.2499999998</x:v>
      </x:c>
      <x:c r="AA101" s="55" t="n">
        <x:f>AA93*'Допущения'!$D$18*$D$10</x:f>
        <x:v>1263281.2499999998</x:v>
      </x:c>
      <x:c r="AB101" s="55" t="n">
        <x:f>AB93*'Допущения'!$D$18*$D$10</x:f>
        <x:v>1263281.2499999998</x:v>
      </x:c>
      <x:c r="AC101" s="55" t="n">
        <x:f>AC93*'Допущения'!$D$18*$D$10</x:f>
        <x:v>1263281.2499999998</x:v>
      </x:c>
      <x:c r="AD101" s="55" t="n">
        <x:f>AD93*'Допущения'!$D$18*$D$10</x:f>
        <x:v>1263281.2499999998</x:v>
      </x:c>
      <x:c r="AE101" s="55" t="n">
        <x:f>AE93*'Допущения'!$D$18*$D$10</x:f>
        <x:v>1263281.2499999998</x:v>
      </x:c>
      <x:c r="AF101" s="55" t="n">
        <x:f>AF93*'Допущения'!$D$18*$D$10</x:f>
        <x:v>1263281.2499999998</x:v>
      </x:c>
      <x:c r="AG101" s="55" t="n">
        <x:f>AG93*'Допущения'!$D$18*$D$10</x:f>
        <x:v>1263281.2499999998</x:v>
      </x:c>
      <x:c r="AH101" s="55" t="n">
        <x:f>AH93*'Допущения'!$D$18*$D$10</x:f>
        <x:v>1263281.2499999998</x:v>
      </x:c>
      <x:c r="AI101" s="55" t="n">
        <x:f>AI93*'Допущения'!$D$18*$D$10</x:f>
        <x:v>1263281.2499999998</x:v>
      </x:c>
      <x:c r="AJ101" s="55" t="n">
        <x:f>AJ93*'Допущения'!$D$18*$D$10</x:f>
        <x:v>1263281.2499999998</x:v>
      </x:c>
      <x:c r="AK101" s="55" t="n">
        <x:f>AK93*'Допущения'!$D$18*$D$10</x:f>
        <x:v>1263281.2499999998</x:v>
      </x:c>
    </x:row>
    <x:row r="102">
      <x:c r="A102" s="32" t="str">
        <x:v>Поддержка и переменная инфраструктура, ₽</x:v>
      </x:c>
      <x:c r="B102" s="55" t="n">
        <x:f>B96*('Допущения'!$D$19+'Допущения'!$D$21)</x:f>
        <x:v>0</x:v>
      </x:c>
      <x:c r="C102" s="55" t="n">
        <x:f>C96*('Допущения'!$D$19+'Допущения'!$D$21)</x:f>
        <x:v>0</x:v>
      </x:c>
      <x:c r="D102" s="55" t="n">
        <x:f>D96*('Допущения'!$D$19+'Допущения'!$D$21)</x:f>
        <x:v>16632</x:v>
      </x:c>
      <x:c r="E102" s="55" t="n">
        <x:f>E96*('Допущения'!$D$19+'Допущения'!$D$21)</x:f>
        <x:v>41247.36000000001</x:v>
      </x:c>
      <x:c r="F102" s="55" t="n">
        <x:f>F96*('Допущения'!$D$19+'Допущения'!$D$21)</x:f>
        <x:v>65370.41280000002</x:v>
      </x:c>
      <x:c r="G102" s="55" t="n">
        <x:f>G96*('Допущения'!$D$19+'Допущения'!$D$21)</x:f>
        <x:v>97327.00454400004</x:v>
      </x:c>
      <x:c r="H102" s="55" t="n">
        <x:f>H96*('Допущения'!$D$19+'Допущения'!$D$21)</x:f>
        <x:v>128644.46445312003</x:v>
      </x:c>
      <x:c r="I102" s="55" t="n">
        <x:f>I96*('Допущения'!$D$19+'Допущения'!$D$21)</x:f>
        <x:v>159335.57516405763</x:v>
      </x:c>
      <x:c r="J102" s="55" t="n">
        <x:f>J96*('Допущения'!$D$19+'Допущения'!$D$21)</x:f>
        <x:v>197728.8636607765</x:v>
      </x:c>
      <x:c r="K102" s="55" t="n">
        <x:f>K96*('Допущения'!$D$19+'Допущения'!$D$21)</x:f>
        <x:v>235354.286387561</x:v>
      </x:c>
      <x:c r="L102" s="55" t="n">
        <x:f>L96*('Допущения'!$D$19+'Допущения'!$D$21)</x:f>
        <x:v>272227.20065980975</x:v>
      </x:c>
      <x:c r="M102" s="55" t="n">
        <x:f>M96*('Допущения'!$D$19+'Допущения'!$D$21)</x:f>
        <x:v>308362.6566466136</x:v>
      </x:c>
      <x:c r="N102" s="55" t="n">
        <x:f>N96*('Допущения'!$D$19+'Допущения'!$D$21)</x:f>
        <x:v>343775.4035136813</x:v>
      </x:c>
      <x:c r="O102" s="55" t="n">
        <x:f>O96*('Допущения'!$D$19+'Допущения'!$D$21)</x:f>
        <x:v>378479.8954434077</x:v>
      </x:c>
      <x:c r="P102" s="55" t="n">
        <x:f>P96*('Допущения'!$D$19+'Допущения'!$D$21)</x:f>
        <x:v>420806.2975345396</x:v>
      </x:c>
      <x:c r="Q102" s="55" t="n">
        <x:f>Q96*('Допущения'!$D$19+'Допущения'!$D$21)</x:f>
        <x:v>462286.17158384883</x:v>
      </x:c>
      <x:c r="R102" s="55" t="n">
        <x:f>R96*('Допущения'!$D$19+'Допущения'!$D$21)</x:f>
        <x:v>502936.44815217186</x:v>
      </x:c>
      <x:c r="S102" s="55" t="n">
        <x:f>S96*('Допущения'!$D$19+'Допущения'!$D$21)</x:f>
        <x:v>542773.7191891285</x:v>
      </x:c>
      <x:c r="T102" s="55" t="n">
        <x:f>T96*('Допущения'!$D$19+'Допущения'!$D$21)</x:f>
        <x:v>581814.2448053459</x:v>
      </x:c>
      <x:c r="U102" s="55" t="n">
        <x:f>U96*('Допущения'!$D$19+'Допущения'!$D$21)</x:f>
        <x:v>620073.959909239</x:v>
      </x:c>
      <x:c r="V102" s="55" t="n">
        <x:f>V96*('Допущения'!$D$19+'Допущения'!$D$21)</x:f>
        <x:v>657568.4807110543</x:v>
      </x:c>
      <x:c r="W102" s="55" t="n">
        <x:f>W96*('Допущения'!$D$19+'Допущения'!$D$21)</x:f>
        <x:v>694313.1110968333</x:v>
      </x:c>
      <x:c r="X102" s="55" t="n">
        <x:f>X96*('Допущения'!$D$19+'Допущения'!$D$21)</x:f>
        <x:v>730322.8488748966</x:v>
      </x:c>
      <x:c r="Y102" s="55" t="n">
        <x:f>Y96*('Допущения'!$D$19+'Допущения'!$D$21)</x:f>
        <x:v>765612.3918973985</x:v>
      </x:c>
      <x:c r="Z102" s="55" t="n">
        <x:f>Z96*('Допущения'!$D$19+'Допущения'!$D$21)</x:f>
        <x:v>800196.1440594505</x:v>
      </x:c>
      <x:c r="AA102" s="55" t="n">
        <x:f>AA96*('Допущения'!$D$19+'Допущения'!$D$21)</x:f>
        <x:v>834088.2211782614</x:v>
      </x:c>
      <x:c r="AB102" s="55" t="n">
        <x:f>AB96*('Допущения'!$D$19+'Допущения'!$D$21)</x:f>
        <x:v>900566.4567546962</x:v>
      </x:c>
      <x:c r="AC102" s="55" t="n">
        <x:f>AC96*('Допущения'!$D$19+'Допущения'!$D$21)</x:f>
        <x:v>965715.1276196021</x:v>
      </x:c>
      <x:c r="AD102" s="55" t="n">
        <x:f>AD96*('Допущения'!$D$19+'Допущения'!$D$21)</x:f>
        <x:v>1029560.8250672101</x:v>
      </x:c>
      <x:c r="AE102" s="55" t="n">
        <x:f>AE96*('Допущения'!$D$19+'Допущения'!$D$21)</x:f>
        <x:v>1092129.6085658658</x:v>
      </x:c>
      <x:c r="AF102" s="55" t="n">
        <x:f>AF96*('Допущения'!$D$19+'Допущения'!$D$21)</x:f>
        <x:v>1153447.0163945486</x:v>
      </x:c>
      <x:c r="AG102" s="55" t="n">
        <x:f>AG96*('Допущения'!$D$19+'Допущения'!$D$21)</x:f>
        <x:v>1213538.0760666574</x:v>
      </x:c>
      <x:c r="AH102" s="55" t="n">
        <x:f>AH96*('Допущения'!$D$19+'Допущения'!$D$21)</x:f>
        <x:v>1272427.3145453243</x:v>
      </x:c>
      <x:c r="AI102" s="55" t="n">
        <x:f>AI96*('Допущения'!$D$19+'Допущения'!$D$21)</x:f>
        <x:v>1330138.7682544177</x:v>
      </x:c>
      <x:c r="AJ102" s="55" t="n">
        <x:f>AJ96*('Допущения'!$D$19+'Допущения'!$D$21)</x:f>
        <x:v>1386695.9928893293</x:v>
      </x:c>
      <x:c r="AK102" s="55" t="n">
        <x:f>AK96*('Допущения'!$D$19+'Допущения'!$D$21)</x:f>
        <x:v>1442122.0730315428</x:v>
      </x:c>
    </x:row>
    <x:row r="103">
      <x:c r="A103" s="32" t="str">
        <x:v>Валовая прибыль, ₽</x:v>
      </x:c>
      <x:c r="B103" s="55" t="n">
        <x:f>B99-B100-B101-B102</x:f>
        <x:v>175968.75</x:v>
      </x:c>
      <x:c r="C103" s="55" t="n">
        <x:f>C99-C100-C101-C102</x:f>
        <x:v>263953.125</x:v>
      </x:c>
      <x:c r="D103" s="55" t="n">
        <x:f>D99-D100-D101-D102</x:f>
        <x:v>330481.125</x:v>
      </x:c>
      <x:c r="E103" s="55" t="n">
        <x:f>E99-E100-E101-E102</x:f>
        <x:v>573086.9400000001</x:v>
      </x:c>
      <x:c r="F103" s="55" t="n">
        <x:f>F99-F100-F101-F102</x:f>
        <x:v>669579.1512</x:v>
      </x:c>
      <x:c r="G103" s="55" t="n">
        <x:f>G99-G100-G101-G102</x:f>
        <x:v>797405.5181760002</x:v>
      </x:c>
      <x:c r="H103" s="55" t="n">
        <x:f>H99-H100-H101-H102</x:f>
        <x:v>1089283.7328124803</x:v>
      </x:c>
      <x:c r="I103" s="55" t="n">
        <x:f>I99-I100-I101-I102</x:f>
        <x:v>1212048.175656231</x:v>
      </x:c>
      <x:c r="J103" s="55" t="n">
        <x:f>J99-J100-J101-J102</x:f>
        <x:v>1365621.329643106</x:v>
      </x:c>
      <x:c r="K103" s="55" t="n">
        <x:f>K99-K100-K101-K102</x:f>
        <x:v>1575540.3005502438</x:v>
      </x:c>
      <x:c r="L103" s="55" t="n">
        <x:f>L99-L100-L101-L102</x:f>
        <x:v>1723031.9576392393</x:v>
      </x:c>
      <x:c r="M103" s="55" t="n">
        <x:f>M99-M100-M101-M102</x:f>
        <x:v>1867573.7815864542</x:v>
      </x:c>
      <x:c r="N103" s="55" t="n">
        <x:f>N99-N100-N101-N102</x:f>
        <x:v>2201646.0771747255</x:v>
      </x:c>
      <x:c r="O103" s="55" t="n">
        <x:f>O99-O100-O101-O102</x:f>
        <x:v>2340464.0448936312</x:v>
      </x:c>
      <x:c r="P103" s="55" t="n">
        <x:f>P99-P100-P101-P102</x:f>
        <x:v>2509769.653258158</x:v>
      </x:c>
      <x:c r="Q103" s="55" t="n">
        <x:f>Q99-Q100-Q101-Q102</x:f>
        <x:v>2736038.092405795</x:v>
      </x:c>
      <x:c r="R103" s="55" t="n">
        <x:f>R99-R100-R101-R102</x:f>
        <x:v>2898639.198679087</x:v>
      </x:c>
      <x:c r="S103" s="55" t="n">
        <x:f>S99-S100-S101-S102</x:f>
        <x:v>3057988.282826913</x:v>
      </x:c>
      <x:c r="T103" s="55" t="n">
        <x:f>T99-T100-T101-T102</x:f>
        <x:v>3269671.412806151</x:v>
      </x:c>
      <x:c r="U103" s="55" t="n">
        <x:f>U99-U100-U101-U102</x:f>
        <x:v>3422710.2732217247</x:v>
      </x:c>
      <x:c r="V103" s="55" t="n">
        <x:f>V99-V100-V101-V102</x:f>
        <x:v>3572688.3564289846</x:v>
      </x:c>
      <x:c r="W103" s="55" t="n">
        <x:f>W99-W100-W101-W102</x:f>
        <x:v>3770746.2232853197</x:v>
      </x:c>
      <x:c r="X103" s="55" t="n">
        <x:f>X99-X100-X101-X102</x:f>
        <x:v>3914785.174397573</x:v>
      </x:c>
      <x:c r="Y103" s="55" t="n">
        <x:f>Y99-Y100-Y101-Y102</x:f>
        <x:v>4055943.3464875813</x:v>
      </x:c>
      <x:c r="Z103" s="55" t="n">
        <x:f>Z99-Z100-Z101-Z102</x:f>
        <x:v>4934929.203881382</x:v>
      </x:c>
      <x:c r="AA103" s="55" t="n">
        <x:f>AA99-AA100-AA101-AA102</x:f>
        <x:v>5070497.512356626</x:v>
      </x:c>
      <x:c r="AB103" s="55" t="n">
        <x:f>AB99-AB100-AB101-AB102</x:f>
        <x:v>5336410.454662365</x:v>
      </x:c>
      <x:c r="AC103" s="55" t="n">
        <x:f>AC99-AC100-AC101-AC102</x:f>
        <x:v>5669061.067910502</x:v>
      </x:c>
      <x:c r="AD103" s="55" t="n">
        <x:f>AD99-AD100-AD101-AD102</x:f>
        <x:v>5924443.857700934</x:v>
      </x:c>
      <x:c r="AE103" s="55" t="n">
        <x:f>AE99-AE100-AE101-AE102</x:f>
        <x:v>6174718.991695556</x:v>
      </x:c>
      <x:c r="AF103" s="55" t="n">
        <x:f>AF99-AF100-AF101-AF102</x:f>
        <x:v>6486280.07841572</x:v>
      </x:c>
      <x:c r="AG103" s="55" t="n">
        <x:f>AG99-AG100-AG101-AG102</x:f>
        <x:v>6726644.317104155</x:v>
      </x:c>
      <x:c r="AH103" s="55" t="n">
        <x:f>AH99-AH100-AH101-AH102</x:f>
        <x:v>6962201.271018824</x:v>
      </x:c>
      <x:c r="AI103" s="55" t="n">
        <x:f>AI99-AI100-AI101-AI102</x:f>
        <x:v>7254035.224828195</x:v>
      </x:c>
      <x:c r="AJ103" s="55" t="n">
        <x:f>AJ99-AJ100-AJ101-AJ102</x:f>
        <x:v>7480264.12336784</x:v>
      </x:c>
      <x:c r="AK103" s="55" t="n">
        <x:f>AK99-AK100-AK101-AK102</x:f>
        <x:v>7701968.443936694</x:v>
      </x:c>
    </x:row>
    <x:row r="104">
      <x:c r="A104" s="32" t="str">
        <x:v>Дополнительная команда роста, ₽</x:v>
      </x:c>
      <x:c r="B104" s="55" t="n">
        <x:f>IF(B96&gt;'Допущения'!$D$35,'Допущения'!$D$36,IF(B96&gt;'Допущения'!$D$33,'Допущения'!$D$34,IF(B96&gt;'Допущения'!$D$31,'Допущения'!$D$32,IF(B96&gt;'Допущения'!$D$29,'Допущения'!$D$30,0))))*$D$15</x:f>
        <x:v>0</x:v>
      </x:c>
      <x:c r="C104" s="55" t="n">
        <x:f>IF(C96&gt;'Допущения'!$D$35,'Допущения'!$D$36,IF(C96&gt;'Допущения'!$D$33,'Допущения'!$D$34,IF(C96&gt;'Допущения'!$D$31,'Допущения'!$D$32,IF(C96&gt;'Допущения'!$D$29,'Допущения'!$D$30,0))))*$D$15</x:f>
        <x:v>0</x:v>
      </x:c>
      <x:c r="D104" s="55" t="n">
        <x:f>IF(D96&gt;'Допущения'!$D$35,'Допущения'!$D$36,IF(D96&gt;'Допущения'!$D$33,'Допущения'!$D$34,IF(D96&gt;'Допущения'!$D$31,'Допущения'!$D$32,IF(D96&gt;'Допущения'!$D$29,'Допущения'!$D$30,0))))*$D$15</x:f>
        <x:v>0</x:v>
      </x:c>
      <x:c r="E104" s="55" t="n">
        <x:f>IF(E96&gt;'Допущения'!$D$35,'Допущения'!$D$36,IF(E96&gt;'Допущения'!$D$33,'Допущения'!$D$34,IF(E96&gt;'Допущения'!$D$31,'Допущения'!$D$32,IF(E96&gt;'Допущения'!$D$29,'Допущения'!$D$30,0))))*$D$15</x:f>
        <x:v>0</x:v>
      </x:c>
      <x:c r="F104" s="55" t="n">
        <x:f>IF(F96&gt;'Допущения'!$D$35,'Допущения'!$D$36,IF(F96&gt;'Допущения'!$D$33,'Допущения'!$D$34,IF(F96&gt;'Допущения'!$D$31,'Допущения'!$D$32,IF(F96&gt;'Допущения'!$D$29,'Допущения'!$D$30,0))))*$D$15</x:f>
        <x:v>0</x:v>
      </x:c>
      <x:c r="G104" s="55" t="n">
        <x:f>IF(G96&gt;'Допущения'!$D$35,'Допущения'!$D$36,IF(G96&gt;'Допущения'!$D$33,'Допущения'!$D$34,IF(G96&gt;'Допущения'!$D$31,'Допущения'!$D$32,IF(G96&gt;'Допущения'!$D$29,'Допущения'!$D$30,0))))*$D$15</x:f>
        <x:v>0</x:v>
      </x:c>
      <x:c r="H104" s="55" t="n">
        <x:f>IF(H96&gt;'Допущения'!$D$35,'Допущения'!$D$36,IF(H96&gt;'Допущения'!$D$33,'Допущения'!$D$34,IF(H96&gt;'Допущения'!$D$31,'Допущения'!$D$32,IF(H96&gt;'Допущения'!$D$29,'Допущения'!$D$30,0))))*$D$15</x:f>
        <x:v>0</x:v>
      </x:c>
      <x:c r="I104" s="55" t="n">
        <x:f>IF(I96&gt;'Допущения'!$D$35,'Допущения'!$D$36,IF(I96&gt;'Допущения'!$D$33,'Допущения'!$D$34,IF(I96&gt;'Допущения'!$D$31,'Допущения'!$D$32,IF(I96&gt;'Допущения'!$D$29,'Допущения'!$D$30,0))))*$D$15</x:f>
        <x:v>0</x:v>
      </x:c>
      <x:c r="J104" s="55" t="n">
        <x:f>IF(J96&gt;'Допущения'!$D$35,'Допущения'!$D$36,IF(J96&gt;'Допущения'!$D$33,'Допущения'!$D$34,IF(J96&gt;'Допущения'!$D$31,'Допущения'!$D$32,IF(J96&gt;'Допущения'!$D$29,'Допущения'!$D$30,0))))*$D$15</x:f>
        <x:v>0</x:v>
      </x:c>
      <x:c r="K104" s="55" t="n">
        <x:f>IF(K96&gt;'Допущения'!$D$35,'Допущения'!$D$36,IF(K96&gt;'Допущения'!$D$33,'Допущения'!$D$34,IF(K96&gt;'Допущения'!$D$31,'Допущения'!$D$32,IF(K96&gt;'Допущения'!$D$29,'Допущения'!$D$30,0))))*$D$15</x:f>
        <x:v>0</x:v>
      </x:c>
      <x:c r="L104" s="55" t="n">
        <x:f>IF(L96&gt;'Допущения'!$D$35,'Допущения'!$D$36,IF(L96&gt;'Допущения'!$D$33,'Допущения'!$D$34,IF(L96&gt;'Допущения'!$D$31,'Допущения'!$D$32,IF(L96&gt;'Допущения'!$D$29,'Допущения'!$D$30,0))))*$D$15</x:f>
        <x:v>0</x:v>
      </x:c>
      <x:c r="M104" s="55" t="n">
        <x:f>IF(M96&gt;'Допущения'!$D$35,'Допущения'!$D$36,IF(M96&gt;'Допущения'!$D$33,'Допущения'!$D$34,IF(M96&gt;'Допущения'!$D$31,'Допущения'!$D$32,IF(M96&gt;'Допущения'!$D$29,'Допущения'!$D$30,0))))*$D$15</x:f>
        <x:v>0</x:v>
      </x:c>
      <x:c r="N104" s="55" t="n">
        <x:f>IF(N96&gt;'Допущения'!$D$35,'Допущения'!$D$36,IF(N96&gt;'Допущения'!$D$33,'Допущения'!$D$34,IF(N96&gt;'Допущения'!$D$31,'Допущения'!$D$32,IF(N96&gt;'Допущения'!$D$29,'Допущения'!$D$30,0))))*$D$15</x:f>
        <x:v>0</x:v>
      </x:c>
      <x:c r="O104" s="55" t="n">
        <x:f>IF(O96&gt;'Допущения'!$D$35,'Допущения'!$D$36,IF(O96&gt;'Допущения'!$D$33,'Допущения'!$D$34,IF(O96&gt;'Допущения'!$D$31,'Допущения'!$D$32,IF(O96&gt;'Допущения'!$D$29,'Допущения'!$D$30,0))))*$D$15</x:f>
        <x:v>0</x:v>
      </x:c>
      <x:c r="P104" s="55" t="n">
        <x:f>IF(P96&gt;'Допущения'!$D$35,'Допущения'!$D$36,IF(P96&gt;'Допущения'!$D$33,'Допущения'!$D$34,IF(P96&gt;'Допущения'!$D$31,'Допущения'!$D$32,IF(P96&gt;'Допущения'!$D$29,'Допущения'!$D$30,0))))*$D$15</x:f>
        <x:v>0</x:v>
      </x:c>
      <x:c r="Q104" s="55" t="n">
        <x:f>IF(Q96&gt;'Допущения'!$D$35,'Допущения'!$D$36,IF(Q96&gt;'Допущения'!$D$33,'Допущения'!$D$34,IF(Q96&gt;'Допущения'!$D$31,'Допущения'!$D$32,IF(Q96&gt;'Допущения'!$D$29,'Допущения'!$D$30,0))))*$D$15</x:f>
        <x:v>275000</x:v>
      </x:c>
      <x:c r="R104" s="55" t="n">
        <x:f>IF(R96&gt;'Допущения'!$D$35,'Допущения'!$D$36,IF(R96&gt;'Допущения'!$D$33,'Допущения'!$D$34,IF(R96&gt;'Допущения'!$D$31,'Допущения'!$D$32,IF(R96&gt;'Допущения'!$D$29,'Допущения'!$D$30,0))))*$D$15</x:f>
        <x:v>275000</x:v>
      </x:c>
      <x:c r="S104" s="55" t="n">
        <x:f>IF(S96&gt;'Допущения'!$D$35,'Допущения'!$D$36,IF(S96&gt;'Допущения'!$D$33,'Допущения'!$D$34,IF(S96&gt;'Допущения'!$D$31,'Допущения'!$D$32,IF(S96&gt;'Допущения'!$D$29,'Допущения'!$D$30,0))))*$D$15</x:f>
        <x:v>275000</x:v>
      </x:c>
      <x:c r="T104" s="55" t="n">
        <x:f>IF(T96&gt;'Допущения'!$D$35,'Допущения'!$D$36,IF(T96&gt;'Допущения'!$D$33,'Допущения'!$D$34,IF(T96&gt;'Допущения'!$D$31,'Допущения'!$D$32,IF(T96&gt;'Допущения'!$D$29,'Допущения'!$D$30,0))))*$D$15</x:f>
        <x:v>275000</x:v>
      </x:c>
      <x:c r="U104" s="55" t="n">
        <x:f>IF(U96&gt;'Допущения'!$D$35,'Допущения'!$D$36,IF(U96&gt;'Допущения'!$D$33,'Допущения'!$D$34,IF(U96&gt;'Допущения'!$D$31,'Допущения'!$D$32,IF(U96&gt;'Допущения'!$D$29,'Допущения'!$D$30,0))))*$D$15</x:f>
        <x:v>275000</x:v>
      </x:c>
      <x:c r="V104" s="55" t="n">
        <x:f>IF(V96&gt;'Допущения'!$D$35,'Допущения'!$D$36,IF(V96&gt;'Допущения'!$D$33,'Допущения'!$D$34,IF(V96&gt;'Допущения'!$D$31,'Допущения'!$D$32,IF(V96&gt;'Допущения'!$D$29,'Допущения'!$D$30,0))))*$D$15</x:f>
        <x:v>275000</x:v>
      </x:c>
      <x:c r="W104" s="55" t="n">
        <x:f>IF(W96&gt;'Допущения'!$D$35,'Допущения'!$D$36,IF(W96&gt;'Допущения'!$D$33,'Допущения'!$D$34,IF(W96&gt;'Допущения'!$D$31,'Допущения'!$D$32,IF(W96&gt;'Допущения'!$D$29,'Допущения'!$D$30,0))))*$D$15</x:f>
        <x:v>275000</x:v>
      </x:c>
      <x:c r="X104" s="55" t="n">
        <x:f>IF(X96&gt;'Допущения'!$D$35,'Допущения'!$D$36,IF(X96&gt;'Допущения'!$D$33,'Допущения'!$D$34,IF(X96&gt;'Допущения'!$D$31,'Допущения'!$D$32,IF(X96&gt;'Допущения'!$D$29,'Допущения'!$D$30,0))))*$D$15</x:f>
        <x:v>275000</x:v>
      </x:c>
      <x:c r="Y104" s="55" t="n">
        <x:f>IF(Y96&gt;'Допущения'!$D$35,'Допущения'!$D$36,IF(Y96&gt;'Допущения'!$D$33,'Допущения'!$D$34,IF(Y96&gt;'Допущения'!$D$31,'Допущения'!$D$32,IF(Y96&gt;'Допущения'!$D$29,'Допущения'!$D$30,0))))*$D$15</x:f>
        <x:v>275000</x:v>
      </x:c>
      <x:c r="Z104" s="55" t="n">
        <x:f>IF(Z96&gt;'Допущения'!$D$35,'Допущения'!$D$36,IF(Z96&gt;'Допущения'!$D$33,'Допущения'!$D$34,IF(Z96&gt;'Допущения'!$D$31,'Допущения'!$D$32,IF(Z96&gt;'Допущения'!$D$29,'Допущения'!$D$30,0))))*$D$15</x:f>
        <x:v>275000</x:v>
      </x:c>
      <x:c r="AA104" s="55" t="n">
        <x:f>IF(AA96&gt;'Допущения'!$D$35,'Допущения'!$D$36,IF(AA96&gt;'Допущения'!$D$33,'Допущения'!$D$34,IF(AA96&gt;'Допущения'!$D$31,'Допущения'!$D$32,IF(AA96&gt;'Допущения'!$D$29,'Допущения'!$D$30,0))))*$D$15</x:f>
        <x:v>275000</x:v>
      </x:c>
      <x:c r="AB104" s="55" t="n">
        <x:f>IF(AB96&gt;'Допущения'!$D$35,'Допущения'!$D$36,IF(AB96&gt;'Допущения'!$D$33,'Допущения'!$D$34,IF(AB96&gt;'Допущения'!$D$31,'Допущения'!$D$32,IF(AB96&gt;'Допущения'!$D$29,'Допущения'!$D$30,0))))*$D$15</x:f>
        <x:v>275000</x:v>
      </x:c>
      <x:c r="AC104" s="55" t="n">
        <x:f>IF(AC96&gt;'Допущения'!$D$35,'Допущения'!$D$36,IF(AC96&gt;'Допущения'!$D$33,'Допущения'!$D$34,IF(AC96&gt;'Допущения'!$D$31,'Допущения'!$D$32,IF(AC96&gt;'Допущения'!$D$29,'Допущения'!$D$30,0))))*$D$15</x:f>
        <x:v>275000</x:v>
      </x:c>
      <x:c r="AD104" s="55" t="n">
        <x:f>IF(AD96&gt;'Допущения'!$D$35,'Допущения'!$D$36,IF(AD96&gt;'Допущения'!$D$33,'Допущения'!$D$34,IF(AD96&gt;'Допущения'!$D$31,'Допущения'!$D$32,IF(AD96&gt;'Допущения'!$D$29,'Допущения'!$D$30,0))))*$D$15</x:f>
        <x:v>275000</x:v>
      </x:c>
      <x:c r="AE104" s="55" t="n">
        <x:f>IF(AE96&gt;'Допущения'!$D$35,'Допущения'!$D$36,IF(AE96&gt;'Допущения'!$D$33,'Допущения'!$D$34,IF(AE96&gt;'Допущения'!$D$31,'Допущения'!$D$32,IF(AE96&gt;'Допущения'!$D$29,'Допущения'!$D$30,0))))*$D$15</x:f>
        <x:v>275000</x:v>
      </x:c>
      <x:c r="AF104" s="55" t="n">
        <x:f>IF(AF96&gt;'Допущения'!$D$35,'Допущения'!$D$36,IF(AF96&gt;'Допущения'!$D$33,'Допущения'!$D$34,IF(AF96&gt;'Допущения'!$D$31,'Допущения'!$D$32,IF(AF96&gt;'Допущения'!$D$29,'Допущения'!$D$30,0))))*$D$15</x:f>
        <x:v>550000</x:v>
      </x:c>
      <x:c r="AG104" s="55" t="n">
        <x:f>IF(AG96&gt;'Допущения'!$D$35,'Допущения'!$D$36,IF(AG96&gt;'Допущения'!$D$33,'Допущения'!$D$34,IF(AG96&gt;'Допущения'!$D$31,'Допущения'!$D$32,IF(AG96&gt;'Допущения'!$D$29,'Допущения'!$D$30,0))))*$D$15</x:f>
        <x:v>550000</x:v>
      </x:c>
      <x:c r="AH104" s="55" t="n">
        <x:f>IF(AH96&gt;'Допущения'!$D$35,'Допущения'!$D$36,IF(AH96&gt;'Допущения'!$D$33,'Допущения'!$D$34,IF(AH96&gt;'Допущения'!$D$31,'Допущения'!$D$32,IF(AH96&gt;'Допущения'!$D$29,'Допущения'!$D$30,0))))*$D$15</x:f>
        <x:v>550000</x:v>
      </x:c>
      <x:c r="AI104" s="55" t="n">
        <x:f>IF(AI96&gt;'Допущения'!$D$35,'Допущения'!$D$36,IF(AI96&gt;'Допущения'!$D$33,'Допущения'!$D$34,IF(AI96&gt;'Допущения'!$D$31,'Допущения'!$D$32,IF(AI96&gt;'Допущения'!$D$29,'Допущения'!$D$30,0))))*$D$15</x:f>
        <x:v>550000</x:v>
      </x:c>
      <x:c r="AJ104" s="55" t="n">
        <x:f>IF(AJ96&gt;'Допущения'!$D$35,'Допущения'!$D$36,IF(AJ96&gt;'Допущения'!$D$33,'Допущения'!$D$34,IF(AJ96&gt;'Допущения'!$D$31,'Допущения'!$D$32,IF(AJ96&gt;'Допущения'!$D$29,'Допущения'!$D$30,0))))*$D$15</x:f>
        <x:v>550000</x:v>
      </x:c>
      <x:c r="AK104" s="55" t="n">
        <x:f>IF(AK96&gt;'Допущения'!$D$35,'Допущения'!$D$36,IF(AK96&gt;'Допущения'!$D$33,'Допущения'!$D$34,IF(AK96&gt;'Допущения'!$D$31,'Допущения'!$D$32,IF(AK96&gt;'Допущения'!$D$29,'Допущения'!$D$30,0))))*$D$15</x:f>
        <x:v>550000</x:v>
      </x:c>
    </x:row>
    <x:row r="105">
      <x:c r="A105" s="32" t="str">
        <x:v>Операционные расходы, ₽</x:v>
      </x:c>
      <x:c r="B105" s="55" t="n">
        <x:f>'Модель 36м'!B20*$D$15+B104+'Допущения'!$D$20+'Допущения'!$D$22+'Допущения'!$D$24</x:f>
        <x:v>3290000</x:v>
      </x:c>
      <x:c r="C105" s="55" t="n">
        <x:f>'Модель 36м'!C20*$D$15+C104+'Допущения'!$D$20+'Допущения'!$D$22+'Допущения'!$D$24</x:f>
        <x:v>3290000</x:v>
      </x:c>
      <x:c r="D105" s="55" t="n">
        <x:f>'Модель 36м'!D20*$D$15+D104+'Допущения'!$D$20+'Допущения'!$D$22+'Допущения'!$D$24</x:f>
        <x:v>3290000</x:v>
      </x:c>
      <x:c r="E105" s="55" t="n">
        <x:f>'Модель 36м'!E20*$D$15+E104+'Допущения'!$D$20+'Допущения'!$D$23+'Допущения'!$D$24</x:f>
        <x:v>3815000.0000000005</x:v>
      </x:c>
      <x:c r="F105" s="55" t="n">
        <x:f>'Модель 36м'!F20*$D$15+F104+'Допущения'!$D$20+'Допущения'!$D$23+'Допущения'!$D$24</x:f>
        <x:v>3815000.0000000005</x:v>
      </x:c>
      <x:c r="G105" s="55" t="n">
        <x:f>'Модель 36м'!G20*$D$15+G104+'Допущения'!$D$20+'Допущения'!$D$23+'Допущения'!$D$24</x:f>
        <x:v>3815000.0000000005</x:v>
      </x:c>
      <x:c r="H105" s="55" t="n">
        <x:f>'Модель 36м'!H20*$D$15+H104+'Допущения'!$D$20+'Допущения'!$D$23+'Допущения'!$D$24</x:f>
        <x:v>4420000</x:v>
      </x:c>
      <x:c r="I105" s="55" t="n">
        <x:f>'Модель 36м'!I20*$D$15+I104+'Допущения'!$D$20+'Допущения'!$D$23+'Допущения'!$D$24</x:f>
        <x:v>4420000</x:v>
      </x:c>
      <x:c r="J105" s="55" t="n">
        <x:f>'Модель 36м'!J20*$D$15+J104+'Допущения'!$D$20+'Допущения'!$D$23+'Допущения'!$D$24</x:f>
        <x:v>4420000</x:v>
      </x:c>
      <x:c r="K105" s="55" t="n">
        <x:f>'Модель 36м'!K20*$D$15+K104+'Допущения'!$D$20+'Допущения'!$D$23+'Допущения'!$D$24</x:f>
        <x:v>4695000</x:v>
      </x:c>
      <x:c r="L105" s="55" t="n">
        <x:f>'Модель 36м'!L20*$D$15+L104+'Допущения'!$D$20+'Допущения'!$D$23+'Допущения'!$D$24</x:f>
        <x:v>4695000</x:v>
      </x:c>
      <x:c r="M105" s="55" t="n">
        <x:f>'Модель 36м'!M20*$D$15+M104+'Допущения'!$D$20+'Допущения'!$D$23+'Допущения'!$D$24</x:f>
        <x:v>4695000</x:v>
      </x:c>
      <x:c r="N105" s="55" t="n">
        <x:f>'Модель 36м'!N20*$D$15+N104+'Допущения'!$D$20+'Допущения'!$D$23+'Допущения'!$D$24</x:f>
        <x:v>4893000</x:v>
      </x:c>
      <x:c r="O105" s="55" t="n">
        <x:f>'Модель 36м'!O20*$D$15+O104+'Допущения'!$D$20+'Допущения'!$D$23+'Допущения'!$D$24</x:f>
        <x:v>4893000</x:v>
      </x:c>
      <x:c r="P105" s="55" t="n">
        <x:f>'Модель 36м'!P20*$D$15+P104+'Допущения'!$D$20+'Допущения'!$D$23+'Допущения'!$D$24</x:f>
        <x:v>4893000</x:v>
      </x:c>
      <x:c r="Q105" s="55" t="n">
        <x:f>'Модель 36м'!Q20*$D$15+Q104+'Допущения'!$D$20+'Допущения'!$D$23+'Допущения'!$D$24</x:f>
        <x:v>5168000</x:v>
      </x:c>
      <x:c r="R105" s="55" t="n">
        <x:f>'Модель 36м'!R20*$D$15+R104+'Допущения'!$D$20+'Допущения'!$D$23+'Допущения'!$D$24</x:f>
        <x:v>5168000</x:v>
      </x:c>
      <x:c r="S105" s="55" t="n">
        <x:f>'Модель 36м'!S20*$D$15+S104+'Допущения'!$D$20+'Допущения'!$D$23+'Допущения'!$D$24</x:f>
        <x:v>5168000</x:v>
      </x:c>
      <x:c r="T105" s="55" t="n">
        <x:f>'Модель 36м'!T20*$D$15+T104+'Допущения'!$D$20+'Допущения'!$D$23+'Допущения'!$D$24</x:f>
        <x:v>5168000</x:v>
      </x:c>
      <x:c r="U105" s="55" t="n">
        <x:f>'Модель 36м'!U20*$D$15+U104+'Допущения'!$D$20+'Допущения'!$D$23+'Допущения'!$D$24</x:f>
        <x:v>5168000</x:v>
      </x:c>
      <x:c r="V105" s="55" t="n">
        <x:f>'Модель 36м'!V20*$D$15+V104+'Допущения'!$D$20+'Допущения'!$D$23+'Допущения'!$D$24</x:f>
        <x:v>5168000</x:v>
      </x:c>
      <x:c r="W105" s="55" t="n">
        <x:f>'Модель 36м'!W20*$D$15+W104+'Допущения'!$D$20+'Допущения'!$D$23+'Допущения'!$D$24</x:f>
        <x:v>5168000</x:v>
      </x:c>
      <x:c r="X105" s="55" t="n">
        <x:f>'Модель 36м'!X20*$D$15+X104+'Допущения'!$D$20+'Допущения'!$D$23+'Допущения'!$D$24</x:f>
        <x:v>5168000</x:v>
      </x:c>
      <x:c r="Y105" s="55" t="n">
        <x:f>'Модель 36м'!Y20*$D$15+Y104+'Допущения'!$D$20+'Допущения'!$D$23+'Допущения'!$D$24</x:f>
        <x:v>5168000</x:v>
      </x:c>
      <x:c r="Z105" s="55" t="n">
        <x:f>'Модель 36м'!Z20*$D$15+Z104+'Допущения'!$D$20+'Допущения'!$D$23+'Допущения'!$D$24</x:f>
        <x:v>5567300.000000001</x:v>
      </x:c>
      <x:c r="AA105" s="55" t="n">
        <x:f>'Модель 36м'!AA20*$D$15+AA104+'Допущения'!$D$20+'Допущения'!$D$23+'Допущения'!$D$24</x:f>
        <x:v>5567300.000000001</x:v>
      </x:c>
      <x:c r="AB105" s="55" t="n">
        <x:f>'Модель 36м'!AB20*$D$15+AB104+'Допущения'!$D$20+'Допущения'!$D$23+'Допущения'!$D$24</x:f>
        <x:v>5567300.000000001</x:v>
      </x:c>
      <x:c r="AC105" s="55" t="n">
        <x:f>'Модель 36м'!AC20*$D$15+AC104+'Допущения'!$D$20+'Допущения'!$D$23+'Допущения'!$D$24</x:f>
        <x:v>5567300.000000001</x:v>
      </x:c>
      <x:c r="AD105" s="55" t="n">
        <x:f>'Модель 36м'!AD20*$D$15+AD104+'Допущения'!$D$20+'Допущения'!$D$23+'Допущения'!$D$24</x:f>
        <x:v>5567300.000000001</x:v>
      </x:c>
      <x:c r="AE105" s="55" t="n">
        <x:f>'Модель 36м'!AE20*$D$15+AE104+'Допущения'!$D$20+'Допущения'!$D$23+'Допущения'!$D$24</x:f>
        <x:v>5567300.000000001</x:v>
      </x:c>
      <x:c r="AF105" s="55" t="n">
        <x:f>'Модель 36м'!AF20*$D$15+AF104+'Допущения'!$D$20+'Допущения'!$D$23+'Допущения'!$D$24</x:f>
        <x:v>5842300.000000001</x:v>
      </x:c>
      <x:c r="AG105" s="55" t="n">
        <x:f>'Модель 36м'!AG20*$D$15+AG104+'Допущения'!$D$20+'Допущения'!$D$23+'Допущения'!$D$24</x:f>
        <x:v>5842300.000000001</x:v>
      </x:c>
      <x:c r="AH105" s="55" t="n">
        <x:f>'Модель 36м'!AH20*$D$15+AH104+'Допущения'!$D$20+'Допущения'!$D$23+'Допущения'!$D$24</x:f>
        <x:v>5842300.000000001</x:v>
      </x:c>
      <x:c r="AI105" s="55" t="n">
        <x:f>'Модель 36м'!AI20*$D$15+AI104+'Допущения'!$D$20+'Допущения'!$D$23+'Допущения'!$D$24</x:f>
        <x:v>5842300.000000001</x:v>
      </x:c>
      <x:c r="AJ105" s="55" t="n">
        <x:f>'Модель 36м'!AJ20*$D$15+AJ104+'Допущения'!$D$20+'Допущения'!$D$23+'Допущения'!$D$24</x:f>
        <x:v>5842300.000000001</x:v>
      </x:c>
      <x:c r="AK105" s="55" t="n">
        <x:f>'Модель 36м'!AK20*$D$15+AK104+'Допущения'!$D$20+'Допущения'!$D$23+'Допущения'!$D$24</x:f>
        <x:v>5842300.000000001</x:v>
      </x:c>
    </x:row>
    <x:row r="106">
      <x:c r="A106" s="32" t="str">
        <x:v>EBITDA, ₽</x:v>
      </x:c>
      <x:c r="B106" s="55" t="n">
        <x:f>B103-B105</x:f>
        <x:v>-3114031.25</x:v>
      </x:c>
      <x:c r="C106" s="55" t="n">
        <x:f>C103-C105</x:f>
        <x:v>-3026046.875</x:v>
      </x:c>
      <x:c r="D106" s="55" t="n">
        <x:f>D103-D105</x:f>
        <x:v>-2959518.875</x:v>
      </x:c>
      <x:c r="E106" s="55" t="n">
        <x:f>E103-E105</x:f>
        <x:v>-3241913.0600000005</x:v>
      </x:c>
      <x:c r="F106" s="55" t="n">
        <x:f>F103-F105</x:f>
        <x:v>-3145420.8488000007</x:v>
      </x:c>
      <x:c r="G106" s="55" t="n">
        <x:f>G103-G105</x:f>
        <x:v>-3017594.4818240004</x:v>
      </x:c>
      <x:c r="H106" s="55" t="n">
        <x:f>H103-H105</x:f>
        <x:v>-3330716.26718752</x:v>
      </x:c>
      <x:c r="I106" s="55" t="n">
        <x:f>I103-I105</x:f>
        <x:v>-3207951.824343769</x:v>
      </x:c>
      <x:c r="J106" s="55" t="n">
        <x:f>J103-J105</x:f>
        <x:v>-3054378.670356894</x:v>
      </x:c>
      <x:c r="K106" s="55" t="n">
        <x:f>K103-K105</x:f>
        <x:v>-3119459.699449756</x:v>
      </x:c>
      <x:c r="L106" s="55" t="n">
        <x:f>L103-L105</x:f>
        <x:v>-2971968.0423607607</x:v>
      </x:c>
      <x:c r="M106" s="55" t="n">
        <x:f>M103-M105</x:f>
        <x:v>-2827426.2184135458</x:v>
      </x:c>
      <x:c r="N106" s="55" t="n">
        <x:f>N103-N105</x:f>
        <x:v>-2691353.9228252745</x:v>
      </x:c>
      <x:c r="O106" s="55" t="n">
        <x:f>O103-O105</x:f>
        <x:v>-2552535.9551063688</x:v>
      </x:c>
      <x:c r="P106" s="55" t="n">
        <x:f>P103-P105</x:f>
        <x:v>-2383230.346741842</x:v>
      </x:c>
      <x:c r="Q106" s="55" t="n">
        <x:f>Q103-Q105</x:f>
        <x:v>-2431961.907594205</x:v>
      </x:c>
      <x:c r="R106" s="55" t="n">
        <x:f>R103-R105</x:f>
        <x:v>-2269360.801320913</x:v>
      </x:c>
      <x:c r="S106" s="55" t="n">
        <x:f>S103-S105</x:f>
        <x:v>-2110011.717173087</x:v>
      </x:c>
      <x:c r="T106" s="55" t="n">
        <x:f>T103-T105</x:f>
        <x:v>-1898328.587193849</x:v>
      </x:c>
      <x:c r="U106" s="55" t="n">
        <x:f>U103-U105</x:f>
        <x:v>-1745289.7267782753</x:v>
      </x:c>
      <x:c r="V106" s="55" t="n">
        <x:f>V103-V105</x:f>
        <x:v>-1595311.6435710154</x:v>
      </x:c>
      <x:c r="W106" s="55" t="n">
        <x:f>W103-W105</x:f>
        <x:v>-1397253.7767146803</x:v>
      </x:c>
      <x:c r="X106" s="55" t="n">
        <x:f>X103-X105</x:f>
        <x:v>-1253214.8256024271</x:v>
      </x:c>
      <x:c r="Y106" s="55" t="n">
        <x:f>Y103-Y105</x:f>
        <x:v>-1112056.6535124187</x:v>
      </x:c>
      <x:c r="Z106" s="55" t="n">
        <x:f>Z103-Z105</x:f>
        <x:v>-632370.7961186189</x:v>
      </x:c>
      <x:c r="AA106" s="55" t="n">
        <x:f>AA103-AA105</x:f>
        <x:v>-496802.48764337506</x:v>
      </x:c>
      <x:c r="AB106" s="55" t="n">
        <x:f>AB103-AB105</x:f>
        <x:v>-230889.54533763602</x:v>
      </x:c>
      <x:c r="AC106" s="55" t="n">
        <x:f>AC103-AC105</x:f>
        <x:v>101761.0679105008</x:v>
      </x:c>
      <x:c r="AD106" s="55" t="n">
        <x:f>AD103-AD105</x:f>
        <x:v>357143.8577009328</x:v>
      </x:c>
      <x:c r="AE106" s="55" t="n">
        <x:f>AE103-AE105</x:f>
        <x:v>607418.9916955549</x:v>
      </x:c>
      <x:c r="AF106" s="55" t="n">
        <x:f>AF103-AF105</x:f>
        <x:v>643980.0784157189</x:v>
      </x:c>
      <x:c r="AG106" s="55" t="n">
        <x:f>AG103-AG105</x:f>
        <x:v>884344.3171041543</x:v>
      </x:c>
      <x:c r="AH106" s="55" t="n">
        <x:f>AH103-AH105</x:f>
        <x:v>1119901.2710188227</x:v>
      </x:c>
      <x:c r="AI106" s="55" t="n">
        <x:f>AI103-AI105</x:f>
        <x:v>1411735.224828194</x:v>
      </x:c>
      <x:c r="AJ106" s="55" t="n">
        <x:f>AJ103-AJ105</x:f>
        <x:v>1637964.1233678395</x:v>
      </x:c>
      <x:c r="AK106" s="55" t="n">
        <x:f>AK103-AK105</x:f>
        <x:v>1859668.4439366935</x:v>
      </x:c>
    </x:row>
    <x:row r="107">
      <x:c r="A107" s="32" t="str">
        <x:v>Условный налог, ₽</x:v>
      </x:c>
      <x:c r="B107" s="55" t="n">
        <x:f>MAX(0,B106*$D$14)</x:f>
        <x:v>0</x:v>
      </x:c>
      <x:c r="C107" s="55" t="n">
        <x:f>MAX(0,C106*$D$14)</x:f>
        <x:v>0</x:v>
      </x:c>
      <x:c r="D107" s="55" t="n">
        <x:f>MAX(0,D106*$D$14)</x:f>
        <x:v>0</x:v>
      </x:c>
      <x:c r="E107" s="55" t="n">
        <x:f>MAX(0,E106*$D$14)</x:f>
        <x:v>0</x:v>
      </x:c>
      <x:c r="F107" s="55" t="n">
        <x:f>MAX(0,F106*$D$14)</x:f>
        <x:v>0</x:v>
      </x:c>
      <x:c r="G107" s="55" t="n">
        <x:f>MAX(0,G106*$D$14)</x:f>
        <x:v>0</x:v>
      </x:c>
      <x:c r="H107" s="55" t="n">
        <x:f>MAX(0,H106*$D$14)</x:f>
        <x:v>0</x:v>
      </x:c>
      <x:c r="I107" s="55" t="n">
        <x:f>MAX(0,I106*$D$14)</x:f>
        <x:v>0</x:v>
      </x:c>
      <x:c r="J107" s="55" t="n">
        <x:f>MAX(0,J106*$D$14)</x:f>
        <x:v>0</x:v>
      </x:c>
      <x:c r="K107" s="55" t="n">
        <x:f>MAX(0,K106*$D$14)</x:f>
        <x:v>0</x:v>
      </x:c>
      <x:c r="L107" s="55" t="n">
        <x:f>MAX(0,L106*$D$14)</x:f>
        <x:v>0</x:v>
      </x:c>
      <x:c r="M107" s="55" t="n">
        <x:f>MAX(0,M106*$D$14)</x:f>
        <x:v>0</x:v>
      </x:c>
      <x:c r="N107" s="55" t="n">
        <x:f>MAX(0,N106*$D$14)</x:f>
        <x:v>0</x:v>
      </x:c>
      <x:c r="O107" s="55" t="n">
        <x:f>MAX(0,O106*$D$14)</x:f>
        <x:v>0</x:v>
      </x:c>
      <x:c r="P107" s="55" t="n">
        <x:f>MAX(0,P106*$D$14)</x:f>
        <x:v>0</x:v>
      </x:c>
      <x:c r="Q107" s="55" t="n">
        <x:f>MAX(0,Q106*$D$14)</x:f>
        <x:v>0</x:v>
      </x:c>
      <x:c r="R107" s="55" t="n">
        <x:f>MAX(0,R106*$D$14)</x:f>
        <x:v>0</x:v>
      </x:c>
      <x:c r="S107" s="55" t="n">
        <x:f>MAX(0,S106*$D$14)</x:f>
        <x:v>0</x:v>
      </x:c>
      <x:c r="T107" s="55" t="n">
        <x:f>MAX(0,T106*$D$14)</x:f>
        <x:v>0</x:v>
      </x:c>
      <x:c r="U107" s="55" t="n">
        <x:f>MAX(0,U106*$D$14)</x:f>
        <x:v>0</x:v>
      </x:c>
      <x:c r="V107" s="55" t="n">
        <x:f>MAX(0,V106*$D$14)</x:f>
        <x:v>0</x:v>
      </x:c>
      <x:c r="W107" s="55" t="n">
        <x:f>MAX(0,W106*$D$14)</x:f>
        <x:v>0</x:v>
      </x:c>
      <x:c r="X107" s="55" t="n">
        <x:f>MAX(0,X106*$D$14)</x:f>
        <x:v>0</x:v>
      </x:c>
      <x:c r="Y107" s="55" t="n">
        <x:f>MAX(0,Y106*$D$14)</x:f>
        <x:v>0</x:v>
      </x:c>
      <x:c r="Z107" s="55" t="n">
        <x:f>MAX(0,Z106*$D$14)</x:f>
        <x:v>0</x:v>
      </x:c>
      <x:c r="AA107" s="55" t="n">
        <x:f>MAX(0,AA106*$D$14)</x:f>
        <x:v>0</x:v>
      </x:c>
      <x:c r="AB107" s="55" t="n">
        <x:f>MAX(0,AB106*$D$14)</x:f>
        <x:v>0</x:v>
      </x:c>
      <x:c r="AC107" s="55" t="n">
        <x:f>MAX(0,AC106*$D$14)</x:f>
        <x:v>15264.16018657512</x:v>
      </x:c>
      <x:c r="AD107" s="55" t="n">
        <x:f>MAX(0,AD106*$D$14)</x:f>
        <x:v>53571.578655139914</x:v>
      </x:c>
      <x:c r="AE107" s="55" t="n">
        <x:f>MAX(0,AE106*$D$14)</x:f>
        <x:v>91112.84875433323</x:v>
      </x:c>
      <x:c r="AF107" s="55" t="n">
        <x:f>MAX(0,AF106*$D$14)</x:f>
        <x:v>96597.01176235783</x:v>
      </x:c>
      <x:c r="AG107" s="55" t="n">
        <x:f>MAX(0,AG106*$D$14)</x:f>
        <x:v>132651.64756562313</x:v>
      </x:c>
      <x:c r="AH107" s="55" t="n">
        <x:f>MAX(0,AH106*$D$14)</x:f>
        <x:v>167985.1906528234</x:v>
      </x:c>
      <x:c r="AI107" s="55" t="n">
        <x:f>MAX(0,AI106*$D$14)</x:f>
        <x:v>211760.28372422908</x:v>
      </x:c>
      <x:c r="AJ107" s="55" t="n">
        <x:f>MAX(0,AJ106*$D$14)</x:f>
        <x:v>245694.61850517592</x:v>
      </x:c>
      <x:c r="AK107" s="55" t="n">
        <x:f>MAX(0,AK106*$D$14)</x:f>
        <x:v>278950.26659050403</x:v>
      </x:c>
    </x:row>
    <x:row r="108">
      <x:c r="A108" s="32" t="str">
        <x:v>Денежные поступления, ₽</x:v>
      </x:c>
      <x:c r="B108" s="55" t="n">
        <x:f>IF($D$12=0,B99,IF($D$12=1,0,0))</x:f>
        <x:v>0</x:v>
      </x:c>
      <x:c r="C108" s="55" t="n">
        <x:f>IF($D$12=0,C99,IF($D$12=1,B99,0))</x:f>
        <x:v>0</x:v>
      </x:c>
      <x:c r="D108" s="55" t="n">
        <x:f>IF($D$12=0,D99,IF($D$12=1,C99,B99))</x:f>
        <x:v>779625</x:v>
      </x:c>
      <x:c r="E108" s="55" t="n">
        <x:f>IF($D$12=0,E99,IF($D$12=1,D99,C99))</x:f>
        <x:v>1169437.5</x:v>
      </x:c>
      <x:c r="F108" s="55" t="n">
        <x:f>IF($D$12=0,F99,IF($D$12=1,E99,D99))</x:f>
        <x:v>1252597.5</x:v>
      </x:c>
      <x:c r="G108" s="55" t="n">
        <x:f>IF($D$12=0,G99,IF($D$12=1,F99,E99))</x:f>
        <x:v>1765486.8</x:v>
      </x:c>
      <x:c r="H108" s="55" t="n">
        <x:f>IF($D$12=0,H99,IF($D$12=1,G99,F99))</x:f>
        <x:v>1886102.064</x:v>
      </x:c>
      <x:c r="I108" s="55" t="n">
        <x:f>IF($D$12=0,I99,IF($D$12=1,H99,G99))</x:f>
        <x:v>2045885.0227200002</x:v>
      </x:c>
      <x:c r="J108" s="55" t="n">
        <x:f>IF($D$12=0,J99,IF($D$12=1,I99,H99))</x:f>
        <x:v>2592284.8222656003</x:v>
      </x:c>
      <x:c r="K108" s="55" t="n">
        <x:f>IF($D$12=0,K99,IF($D$12=1,J99,I99))</x:f>
        <x:v>2745740.3758202884</x:v>
      </x:c>
      <x:c r="L108" s="55" t="n">
        <x:f>IF($D$12=0,L99,IF($D$12=1,K99,J99))</x:f>
        <x:v>2937706.8183038826</x:v>
      </x:c>
      <x:c r="M108" s="55" t="n">
        <x:f>IF($D$12=0,M99,IF($D$12=1,L99,K99))</x:f>
        <x:v>3125833.931937805</x:v>
      </x:c>
      <x:c r="N108" s="55" t="n">
        <x:f>IF($D$12=0,N99,IF($D$12=1,M99,L99))</x:f>
        <x:v>3310198.503299049</x:v>
      </x:c>
      <x:c r="O108" s="55" t="n">
        <x:f>IF($D$12=0,O99,IF($D$12=1,N99,M99))</x:f>
        <x:v>3490875.783233068</x:v>
      </x:c>
      <x:c r="P108" s="55" t="n">
        <x:f>IF($D$12=0,P99,IF($D$12=1,O99,N99))</x:f>
        <x:v>4057752.0175684066</x:v>
      </x:c>
      <x:c r="Q108" s="55" t="n">
        <x:f>IF($D$12=0,Q99,IF($D$12=1,P99,O99))</x:f>
        <x:v>4231274.477217039</x:v>
      </x:c>
      <x:c r="R108" s="55" t="n">
        <x:f>IF($D$12=0,R99,IF($D$12=1,Q99,P99))</x:f>
        <x:v>4442906.487672698</x:v>
      </x:c>
      <x:c r="S108" s="55" t="n">
        <x:f>IF($D$12=0,S99,IF($D$12=1,R99,Q99))</x:f>
        <x:v>4650305.857919244</x:v>
      </x:c>
      <x:c r="T108" s="55" t="n">
        <x:f>IF($D$12=0,T99,IF($D$12=1,S99,R99))</x:f>
        <x:v>4853557.240760859</x:v>
      </x:c>
      <x:c r="U108" s="55" t="n">
        <x:f>IF($D$12=0,U99,IF($D$12=1,T99,S99))</x:f>
        <x:v>5052743.595945641</x:v>
      </x:c>
      <x:c r="V108" s="55" t="n">
        <x:f>IF($D$12=0,V99,IF($D$12=1,U99,T99))</x:f>
        <x:v>5247946.224026729</x:v>
      </x:c>
      <x:c r="W108" s="55" t="n">
        <x:f>IF($D$12=0,W99,IF($D$12=1,V99,U99))</x:f>
        <x:v>5439244.799546195</x:v>
      </x:c>
      <x:c r="X108" s="55" t="n">
        <x:f>IF($D$12=0,X99,IF($D$12=1,W99,V99))</x:f>
        <x:v>5626717.403555271</x:v>
      </x:c>
      <x:c r="Y108" s="55" t="n">
        <x:f>IF($D$12=0,Y99,IF($D$12=1,X99,W99))</x:f>
        <x:v>5810440.555484166</x:v>
      </x:c>
      <x:c r="Z108" s="55" t="n">
        <x:f>IF($D$12=0,Z99,IF($D$12=1,Y99,X99))</x:f>
        <x:v>5990489.244374483</x:v>
      </x:c>
      <x:c r="AA108" s="55" t="n">
        <x:f>IF($D$12=0,AA99,IF($D$12=1,Z99,Y99))</x:f>
        <x:v>6166936.959486993</x:v>
      </x:c>
      <x:c r="AB108" s="55" t="n">
        <x:f>IF($D$12=0,AB99,IF($D$12=1,AA99,Z99))</x:f>
        <x:v>7899105.720297253</x:v>
      </x:c>
      <x:c r="AC108" s="55" t="n">
        <x:f>IF($D$12=0,AC99,IF($D$12=1,AB99,AA99))</x:f>
        <x:v>8068566.105891308</x:v>
      </x:c>
      <x:c r="AD108" s="55" t="n">
        <x:f>IF($D$12=0,AD99,IF($D$12=1,AC99,AB99))</x:f>
        <x:v>8400957.283773482</x:v>
      </x:c>
      <x:c r="AE108" s="55" t="n">
        <x:f>IF($D$12=0,AE99,IF($D$12=1,AD99,AC99))</x:f>
        <x:v>8726700.63809801</x:v>
      </x:c>
      <x:c r="AF108" s="55" t="n">
        <x:f>IF($D$12=0,AF99,IF($D$12=1,AE99,AD99))</x:f>
        <x:v>9045929.125336051</x:v>
      </x:c>
      <x:c r="AG108" s="55" t="n">
        <x:f>IF($D$12=0,AG99,IF($D$12=1,AF99,AE99))</x:f>
        <x:v>9358773.04282933</x:v>
      </x:c>
      <x:c r="AH108" s="55" t="n">
        <x:f>IF($D$12=0,AH99,IF($D$12=1,AG99,AF99))</x:f>
        <x:v>9665360.081972742</x:v>
      </x:c>
      <x:c r="AI108" s="55" t="n">
        <x:f>IF($D$12=0,AI99,IF($D$12=1,AH99,AG99))</x:f>
        <x:v>9965815.380333288</x:v>
      </x:c>
      <x:c r="AJ108" s="55" t="n">
        <x:f>IF($D$12=0,AJ99,IF($D$12=1,AI99,AH99))</x:f>
        <x:v>10260261.572726622</x:v>
      </x:c>
      <x:c r="AK108" s="55" t="n">
        <x:f>IF($D$12=0,AK99,IF($D$12=1,AJ99,AI99))</x:f>
        <x:v>10548818.84127209</x:v>
      </x:c>
    </x:row>
    <x:row r="109">
      <x:c r="A109" s="32" t="str">
        <x:v>Денежные выплаты, ₽</x:v>
      </x:c>
      <x:c r="B109" s="55" t="n">
        <x:f>B100+B101+B102+B105+B107</x:f>
        <x:v>3893656.25</x:v>
      </x:c>
      <x:c r="C109" s="55" t="n">
        <x:f>C100+C101+C102+C105+C107</x:f>
        <x:v>4195484.375</x:v>
      </x:c>
      <x:c r="D109" s="55" t="n">
        <x:f>D100+D101+D102+D105+D107</x:f>
        <x:v>4212116.375</x:v>
      </x:c>
      <x:c r="E109" s="55" t="n">
        <x:f>E100+E101+E102+E105+E107</x:f>
        <x:v>5007399.86</x:v>
      </x:c>
      <x:c r="F109" s="55" t="n">
        <x:f>F100+F101+F102+F105+F107</x:f>
        <x:v>5031522.912800001</x:v>
      </x:c>
      <x:c r="G109" s="55" t="n">
        <x:f>G100+G101+G102+G105+G107</x:f>
        <x:v>5063479.504544001</x:v>
      </x:c>
      <x:c r="H109" s="55" t="n">
        <x:f>H100+H101+H102+H105+H107</x:f>
        <x:v>5923001.08945312</x:v>
      </x:c>
      <x:c r="I109" s="55" t="n">
        <x:f>I100+I101+I102+I105+I107</x:f>
        <x:v>5953692.200164057</x:v>
      </x:c>
      <x:c r="J109" s="55" t="n">
        <x:f>J100+J101+J102+J105+J107</x:f>
        <x:v>5992085.488660777</x:v>
      </x:c>
      <x:c r="K109" s="55" t="n">
        <x:f>K100+K101+K102+K105+K107</x:f>
        <x:v>6245293.631387562</x:v>
      </x:c>
      <x:c r="L109" s="55" t="n">
        <x:f>L100+L101+L102+L105+L107</x:f>
        <x:v>6282166.54565981</x:v>
      </x:c>
      <x:c r="M109" s="55" t="n">
        <x:f>M100+M101+M102+M105+M107</x:f>
        <x:v>6318302.001646614</x:v>
      </x:c>
      <x:c r="N109" s="55" t="n">
        <x:f>N100+N101+N102+N105+N107</x:f>
        <x:v>6749105.940393682</x:v>
      </x:c>
      <x:c r="O109" s="55" t="n">
        <x:f>O100+O101+O102+O105+O107</x:f>
        <x:v>6783810.432323407</x:v>
      </x:c>
      <x:c r="P109" s="55" t="n">
        <x:f>P100+P101+P102+P105+P107</x:f>
        <x:v>6826136.83441454</x:v>
      </x:c>
      <x:c r="Q109" s="55" t="n">
        <x:f>Q100+Q101+Q102+Q105+Q107</x:f>
        <x:v>7082267.765513449</x:v>
      </x:c>
      <x:c r="R109" s="55" t="n">
        <x:f>R100+R101+R102+R105+R107</x:f>
        <x:v>7122918.042081771</x:v>
      </x:c>
      <x:c r="S109" s="55" t="n">
        <x:f>S100+S101+S102+S105+S107</x:f>
        <x:v>7162755.313118728</x:v>
      </x:c>
      <x:c r="T109" s="55" t="n">
        <x:f>T100+T101+T102+T105+T107</x:f>
        <x:v>7146274.811220578</x:v>
      </x:c>
      <x:c r="U109" s="55" t="n">
        <x:f>U100+U101+U102+U105+U107</x:f>
        <x:v>7184534.526324471</x:v>
      </x:c>
      <x:c r="V109" s="55" t="n">
        <x:f>V100+V101+V102+V105+V107</x:f>
        <x:v>7222029.047126287</x:v>
      </x:c>
      <x:c r="W109" s="55" t="n">
        <x:f>W100+W101+W102+W105+W107</x:f>
        <x:v>7207694.332198847</x:v>
      </x:c>
      <x:c r="X109" s="55" t="n">
        <x:f>X100+X101+X102+X105+X107</x:f>
        <x:v>7243704.069976911</x:v>
      </x:c>
      <x:c r="Y109" s="55" t="n">
        <x:f>Y100+Y101+Y102+Y105+Y107</x:f>
        <x:v>7278993.612999412</x:v>
      </x:c>
      <x:c r="Z109" s="55" t="n">
        <x:f>Z100+Z101+Z102+Z105+Z107</x:f>
        <x:v>8531476.516415872</x:v>
      </x:c>
      <x:c r="AA109" s="55" t="n">
        <x:f>AA100+AA101+AA102+AA105+AA107</x:f>
        <x:v>8565368.593534682</x:v>
      </x:c>
      <x:c r="AB109" s="55" t="n">
        <x:f>AB100+AB101+AB102+AB105+AB107</x:f>
        <x:v>8631846.829111118</x:v>
      </x:c>
      <x:c r="AC109" s="55" t="n">
        <x:f>AC100+AC101+AC102+AC105+AC107</x:f>
        <x:v>8640203.730374085</x:v>
      </x:c>
      <x:c r="AD109" s="55" t="n">
        <x:f>AD100+AD101+AD102+AD105+AD107</x:f>
        <x:v>8742356.846290259</x:v>
      </x:c>
      <x:c r="AE109" s="55" t="n">
        <x:f>AE100+AE101+AE102+AE105+AE107</x:f>
        <x:v>8842466.899888108</x:v>
      </x:c>
      <x:c r="AF109" s="55" t="n">
        <x:f>AF100+AF101+AF102+AF105+AF107</x:f>
        <x:v>9117977.015319383</x:v>
      </x:c>
      <x:c r="AG109" s="55" t="n">
        <x:f>AG100+AG101+AG102+AG105+AG107</x:f>
        <x:v>9214122.710794756</x:v>
      </x:c>
      <x:c r="AH109" s="55" t="n">
        <x:f>AH100+AH101+AH102+AH105+AH107</x:f>
        <x:v>9308345.492360624</x:v>
      </x:c>
      <x:c r="AI109" s="55" t="n">
        <x:f>AI100+AI101+AI102+AI105+AI107</x:f>
        <x:v>9348843.900168125</x:v>
      </x:c>
      <x:c r="AJ109" s="55" t="n">
        <x:f>AJ100+AJ101+AJ102+AJ105+AJ107</x:f>
        <x:v>9439335.459583983</x:v>
      </x:c>
      <x:c r="AK109" s="55" t="n">
        <x:f>AK100+AK101+AK102+AK105+AK107</x:f>
        <x:v>9528017.187811524</x:v>
      </x:c>
    </x:row>
    <x:row r="110">
      <x:c r="A110" s="32" t="str">
        <x:v>Инвестиции / финансирование, ₽</x:v>
      </x:c>
      <x:c r="B110" s="55" t="n">
        <x:f>'Допущения'!$D$15</x:f>
        <x:v>15000000</x:v>
      </x:c>
      <x:c r="C110" s="55" t="n">
        <x:f>0</x:f>
        <x:v>0</x:v>
      </x:c>
      <x:c r="D110" s="55" t="n">
        <x:f>0</x:f>
        <x:v>0</x:v>
      </x:c>
      <x:c r="E110" s="55" t="n">
        <x:f>0</x:f>
        <x:v>0</x:v>
      </x:c>
      <x:c r="F110" s="55" t="n">
        <x:f>0</x:f>
        <x:v>0</x:v>
      </x:c>
      <x:c r="G110" s="55" t="n">
        <x:f>0</x:f>
        <x:v>0</x:v>
      </x:c>
      <x:c r="H110" s="55" t="n">
        <x:f>0</x:f>
        <x:v>0</x:v>
      </x:c>
      <x:c r="I110" s="55" t="n">
        <x:f>0</x:f>
        <x:v>0</x:v>
      </x:c>
      <x:c r="J110" s="55" t="n">
        <x:f>0</x:f>
        <x:v>0</x:v>
      </x:c>
      <x:c r="K110" s="55" t="n">
        <x:f>0</x:f>
        <x:v>0</x:v>
      </x:c>
      <x:c r="L110" s="55" t="n">
        <x:f>0</x:f>
        <x:v>0</x:v>
      </x:c>
      <x:c r="M110" s="55" t="n">
        <x:f>0</x:f>
        <x:v>0</x:v>
      </x:c>
      <x:c r="N110" s="55" t="n">
        <x:f>0</x:f>
        <x:v>0</x:v>
      </x:c>
      <x:c r="O110" s="55" t="n">
        <x:f>0</x:f>
        <x:v>0</x:v>
      </x:c>
      <x:c r="P110" s="55" t="n">
        <x:f>0</x:f>
        <x:v>0</x:v>
      </x:c>
      <x:c r="Q110" s="55" t="n">
        <x:f>0</x:f>
        <x:v>0</x:v>
      </x:c>
      <x:c r="R110" s="55" t="n">
        <x:f>0</x:f>
        <x:v>0</x:v>
      </x:c>
      <x:c r="S110" s="55" t="n">
        <x:f>0</x:f>
        <x:v>0</x:v>
      </x:c>
      <x:c r="T110" s="55" t="n">
        <x:f>0</x:f>
        <x:v>0</x:v>
      </x:c>
      <x:c r="U110" s="55" t="n">
        <x:f>0</x:f>
        <x:v>0</x:v>
      </x:c>
      <x:c r="V110" s="55" t="n">
        <x:f>0</x:f>
        <x:v>0</x:v>
      </x:c>
      <x:c r="W110" s="55" t="n">
        <x:f>0</x:f>
        <x:v>0</x:v>
      </x:c>
      <x:c r="X110" s="55" t="n">
        <x:f>0</x:f>
        <x:v>0</x:v>
      </x:c>
      <x:c r="Y110" s="55" t="n">
        <x:f>0</x:f>
        <x:v>0</x:v>
      </x:c>
      <x:c r="Z110" s="55" t="n">
        <x:f>0</x:f>
        <x:v>0</x:v>
      </x:c>
      <x:c r="AA110" s="55" t="n">
        <x:f>0</x:f>
        <x:v>0</x:v>
      </x:c>
      <x:c r="AB110" s="55" t="n">
        <x:f>0</x:f>
        <x:v>0</x:v>
      </x:c>
      <x:c r="AC110" s="55" t="n">
        <x:f>0</x:f>
        <x:v>0</x:v>
      </x:c>
      <x:c r="AD110" s="55" t="n">
        <x:f>0</x:f>
        <x:v>0</x:v>
      </x:c>
      <x:c r="AE110" s="55" t="n">
        <x:f>0</x:f>
        <x:v>0</x:v>
      </x:c>
      <x:c r="AF110" s="55" t="n">
        <x:f>0</x:f>
        <x:v>0</x:v>
      </x:c>
      <x:c r="AG110" s="55" t="n">
        <x:f>0</x:f>
        <x:v>0</x:v>
      </x:c>
      <x:c r="AH110" s="55" t="n">
        <x:f>0</x:f>
        <x:v>0</x:v>
      </x:c>
      <x:c r="AI110" s="55" t="n">
        <x:f>0</x:f>
        <x:v>0</x:v>
      </x:c>
      <x:c r="AJ110" s="55" t="n">
        <x:f>0</x:f>
        <x:v>0</x:v>
      </x:c>
      <x:c r="AK110" s="55" t="n">
        <x:f>0</x:f>
        <x:v>0</x:v>
      </x:c>
    </x:row>
    <x:row r="111">
      <x:c r="A111" s="32" t="str">
        <x:v>Денежные средства на конец месяца, ₽</x:v>
      </x:c>
      <x:c r="B111" s="55" t="n">
        <x:f>B108-B109+B110</x:f>
        <x:v>11106343.75</x:v>
      </x:c>
      <x:c r="C111" s="55" t="n">
        <x:f>B111+C108-C109+C110</x:f>
        <x:v>6910859.375</x:v>
      </x:c>
      <x:c r="D111" s="55" t="n">
        <x:f>C111+D108-D109+D110</x:f>
        <x:v>3478368</x:v>
      </x:c>
      <x:c r="E111" s="55" t="n">
        <x:f>D111+E108-E109+E110</x:f>
        <x:v>-359594.36000000034</x:v>
      </x:c>
      <x:c r="F111" s="55" t="n">
        <x:f>E111+F108-F109+F110</x:f>
        <x:v>-4138519.7728000013</x:v>
      </x:c>
      <x:c r="G111" s="55" t="n">
        <x:f>F111+G108-G109+G110</x:f>
        <x:v>-7436512.477344003</x:v>
      </x:c>
      <x:c r="H111" s="55" t="n">
        <x:f>G111+H108-H109+H110</x:f>
        <x:v>-11473411.502797123</x:v>
      </x:c>
      <x:c r="I111" s="55" t="n">
        <x:f>H111+I108-I109+I110</x:f>
        <x:v>-15381218.68024118</x:v>
      </x:c>
      <x:c r="J111" s="55" t="n">
        <x:f>I111+J108-J109+J110</x:f>
        <x:v>-18781019.346636355</x:v>
      </x:c>
      <x:c r="K111" s="55" t="n">
        <x:f>J111+K108-K109+K110</x:f>
        <x:v>-22280572.60220363</x:v>
      </x:c>
      <x:c r="L111" s="55" t="n">
        <x:f>K111+L108-L109+L110</x:f>
        <x:v>-25625032.329559557</x:v>
      </x:c>
      <x:c r="M111" s="55" t="n">
        <x:f>L111+M108-M109+M110</x:f>
        <x:v>-28817500.399268366</x:v>
      </x:c>
      <x:c r="N111" s="55" t="n">
        <x:f>M111+N108-N109+N110</x:f>
        <x:v>-32256407.836363</x:v>
      </x:c>
      <x:c r="O111" s="55" t="n">
        <x:f>N111+O108-O109+O110</x:f>
        <x:v>-35549342.48545334</x:v>
      </x:c>
      <x:c r="P111" s="55" t="n">
        <x:f>O111+P108-P109+P110</x:f>
        <x:v>-38317727.30229947</x:v>
      </x:c>
      <x:c r="Q111" s="55" t="n">
        <x:f>P111+Q108-Q109+Q110</x:f>
        <x:v>-41168720.59059588</x:v>
      </x:c>
      <x:c r="R111" s="55" t="n">
        <x:f>Q111+R108-R109+R110</x:f>
        <x:v>-43848732.14500496</x:v>
      </x:c>
      <x:c r="S111" s="55" t="n">
        <x:f>R111+S108-S109+S110</x:f>
        <x:v>-46361181.60020444</x:v>
      </x:c>
      <x:c r="T111" s="55" t="n">
        <x:f>S111+T108-T109+T110</x:f>
        <x:v>-48653899.170664154</x:v>
      </x:c>
      <x:c r="U111" s="55" t="n">
        <x:f>T111+U108-U109+U110</x:f>
        <x:v>-50785690.101042986</x:v>
      </x:c>
      <x:c r="V111" s="55" t="n">
        <x:f>U111+V108-V109+V110</x:f>
        <x:v>-52759772.92414254</x:v>
      </x:c>
      <x:c r="W111" s="55" t="n">
        <x:f>V111+W108-W109+W110</x:f>
        <x:v>-54528222.456795186</x:v>
      </x:c>
      <x:c r="X111" s="55" t="n">
        <x:f>W111+X108-X109+X110</x:f>
        <x:v>-56145209.12321682</x:v>
      </x:c>
      <x:c r="Y111" s="55" t="n">
        <x:f>X111+Y108-Y109+Y110</x:f>
        <x:v>-57613762.180732064</x:v>
      </x:c>
      <x:c r="Z111" s="55" t="n">
        <x:f>Y111+Z108-Z109+Z110</x:f>
        <x:v>-60154749.45277345</x:v>
      </x:c>
      <x:c r="AA111" s="55" t="n">
        <x:f>Z111+AA108-AA109+AA110</x:f>
        <x:v>-62553181.08682114</x:v>
      </x:c>
      <x:c r="AB111" s="55" t="n">
        <x:f>AA111+AB108-AB109+AB110</x:f>
        <x:v>-63285922.195635006</x:v>
      </x:c>
      <x:c r="AC111" s="55" t="n">
        <x:f>AB111+AC108-AC109+AC110</x:f>
        <x:v>-63857559.82011778</x:v>
      </x:c>
      <x:c r="AD111" s="55" t="n">
        <x:f>AC111+AD108-AD109+AD110</x:f>
        <x:v>-64198959.38263456</x:v>
      </x:c>
      <x:c r="AE111" s="55" t="n">
        <x:f>AD111+AE108-AE109+AE110</x:f>
        <x:v>-64314725.644424655</x:v>
      </x:c>
      <x:c r="AF111" s="55" t="n">
        <x:f>AE111+AF108-AF109+AF110</x:f>
        <x:v>-64386773.53440799</x:v>
      </x:c>
      <x:c r="AG111" s="55" t="n">
        <x:f>AF111+AG108-AG109+AG110</x:f>
        <x:v>-64242123.202373415</x:v>
      </x:c>
      <x:c r="AH111" s="55" t="n">
        <x:f>AG111+AH108-AH109+AH110</x:f>
        <x:v>-63885108.6127613</x:v>
      </x:c>
      <x:c r="AI111" s="55" t="n">
        <x:f>AH111+AI108-AI109+AI110</x:f>
        <x:v>-63268137.132596135</x:v>
      </x:c>
      <x:c r="AJ111" s="55" t="n">
        <x:f>AI111+AJ108-AJ109+AJ110</x:f>
        <x:v>-62447211.019453496</x:v>
      </x:c>
      <x:c r="AK111" s="55" t="n">
        <x:f>AJ111+AK108-AK109+AK110</x:f>
        <x:v>-61426409.36599293</x:v>
      </x:c>
    </x:row>
    <x:row r="112">
      <x:c r="A112" s="32" t="str">
        <x:v>Ниже резерва?</x:v>
      </x:c>
      <x:c r="B112" t="n">
        <x:f>IF(B111&lt;'Допущения'!$D$26,1,0)</x:f>
        <x:v>0</x:v>
      </x:c>
      <x:c r="C112" t="n">
        <x:f>IF(C111&lt;'Допущения'!$D$26,1,0)</x:f>
        <x:v>0</x:v>
      </x:c>
      <x:c r="D112" t="n">
        <x:f>IF(D111&lt;'Допущения'!$D$26,1,0)</x:f>
        <x:v>0</x:v>
      </x:c>
      <x:c r="E112" t="n">
        <x:f>IF(E111&lt;'Допущения'!$D$26,1,0)</x:f>
        <x:v>1</x:v>
      </x:c>
      <x:c r="F112" t="n">
        <x:f>IF(F111&lt;'Допущения'!$D$26,1,0)</x:f>
        <x:v>1</x:v>
      </x:c>
      <x:c r="G112" t="n">
        <x:f>IF(G111&lt;'Допущения'!$D$26,1,0)</x:f>
        <x:v>1</x:v>
      </x:c>
      <x:c r="H112" t="n">
        <x:f>IF(H111&lt;'Допущения'!$D$26,1,0)</x:f>
        <x:v>1</x:v>
      </x:c>
      <x:c r="I112" t="n">
        <x:f>IF(I111&lt;'Допущения'!$D$26,1,0)</x:f>
        <x:v>1</x:v>
      </x:c>
      <x:c r="J112" t="n">
        <x:f>IF(J111&lt;'Допущения'!$D$26,1,0)</x:f>
        <x:v>1</x:v>
      </x:c>
      <x:c r="K112" t="n">
        <x:f>IF(K111&lt;'Допущения'!$D$26,1,0)</x:f>
        <x:v>1</x:v>
      </x:c>
      <x:c r="L112" t="n">
        <x:f>IF(L111&lt;'Допущения'!$D$26,1,0)</x:f>
        <x:v>1</x:v>
      </x:c>
      <x:c r="M112" t="n">
        <x:f>IF(M111&lt;'Допущения'!$D$26,1,0)</x:f>
        <x:v>1</x:v>
      </x:c>
      <x:c r="N112" t="n">
        <x:f>IF(N111&lt;'Допущения'!$D$26,1,0)</x:f>
        <x:v>1</x:v>
      </x:c>
      <x:c r="O112" t="n">
        <x:f>IF(O111&lt;'Допущения'!$D$26,1,0)</x:f>
        <x:v>1</x:v>
      </x:c>
      <x:c r="P112" t="n">
        <x:f>IF(P111&lt;'Допущения'!$D$26,1,0)</x:f>
        <x:v>1</x:v>
      </x:c>
      <x:c r="Q112" t="n">
        <x:f>IF(Q111&lt;'Допущения'!$D$26,1,0)</x:f>
        <x:v>1</x:v>
      </x:c>
      <x:c r="R112" t="n">
        <x:f>IF(R111&lt;'Допущения'!$D$26,1,0)</x:f>
        <x:v>1</x:v>
      </x:c>
      <x:c r="S112" t="n">
        <x:f>IF(S111&lt;'Допущения'!$D$26,1,0)</x:f>
        <x:v>1</x:v>
      </x:c>
      <x:c r="T112" t="n">
        <x:f>IF(T111&lt;'Допущения'!$D$26,1,0)</x:f>
        <x:v>1</x:v>
      </x:c>
      <x:c r="U112" t="n">
        <x:f>IF(U111&lt;'Допущения'!$D$26,1,0)</x:f>
        <x:v>1</x:v>
      </x:c>
      <x:c r="V112" t="n">
        <x:f>IF(V111&lt;'Допущения'!$D$26,1,0)</x:f>
        <x:v>1</x:v>
      </x:c>
      <x:c r="W112" t="n">
        <x:f>IF(W111&lt;'Допущения'!$D$26,1,0)</x:f>
        <x:v>1</x:v>
      </x:c>
      <x:c r="X112" t="n">
        <x:f>IF(X111&lt;'Допущения'!$D$26,1,0)</x:f>
        <x:v>1</x:v>
      </x:c>
      <x:c r="Y112" t="n">
        <x:f>IF(Y111&lt;'Допущения'!$D$26,1,0)</x:f>
        <x:v>1</x:v>
      </x:c>
      <x:c r="Z112" t="n">
        <x:f>IF(Z111&lt;'Допущения'!$D$26,1,0)</x:f>
        <x:v>1</x:v>
      </x:c>
      <x:c r="AA112" t="n">
        <x:f>IF(AA111&lt;'Допущения'!$D$26,1,0)</x:f>
        <x:v>1</x:v>
      </x:c>
      <x:c r="AB112" t="n">
        <x:f>IF(AB111&lt;'Допущения'!$D$26,1,0)</x:f>
        <x:v>1</x:v>
      </x:c>
      <x:c r="AC112" t="n">
        <x:f>IF(AC111&lt;'Допущения'!$D$26,1,0)</x:f>
        <x:v>1</x:v>
      </x:c>
      <x:c r="AD112" t="n">
        <x:f>IF(AD111&lt;'Допущения'!$D$26,1,0)</x:f>
        <x:v>1</x:v>
      </x:c>
      <x:c r="AE112" t="n">
        <x:f>IF(AE111&lt;'Допущения'!$D$26,1,0)</x:f>
        <x:v>1</x:v>
      </x:c>
      <x:c r="AF112" t="n">
        <x:f>IF(AF111&lt;'Допущения'!$D$26,1,0)</x:f>
        <x:v>1</x:v>
      </x:c>
      <x:c r="AG112" t="n">
        <x:f>IF(AG111&lt;'Допущения'!$D$26,1,0)</x:f>
        <x:v>1</x:v>
      </x:c>
      <x:c r="AH112" t="n">
        <x:f>IF(AH111&lt;'Допущения'!$D$26,1,0)</x:f>
        <x:v>1</x:v>
      </x:c>
      <x:c r="AI112" t="n">
        <x:f>IF(AI111&lt;'Допущения'!$D$26,1,0)</x:f>
        <x:v>1</x:v>
      </x:c>
      <x:c r="AJ112" t="n">
        <x:f>IF(AJ111&lt;'Допущения'!$D$26,1,0)</x:f>
        <x:v>1</x:v>
      </x:c>
      <x:c r="AK112" t="n">
        <x:f>IF(AK111&lt;'Допущения'!$D$26,1,0)</x:f>
        <x:v>1</x:v>
      </x:c>
    </x:row>
    <x:row r="113">
      <x:c r="A113" s="32" t="str">
        <x:v>Первый месяц ниже резерва</x:v>
      </x:c>
      <x:c r="B113" t="n">
        <x:f>IF(B112=1,1,0)</x:f>
        <x:v>0</x:v>
      </x:c>
      <x:c r="C113" t="n">
        <x:f>IF(B113&gt;0,B113,IF(C112=1,2,0))</x:f>
        <x:v>0</x:v>
      </x:c>
      <x:c r="D113" t="n">
        <x:f>IF(C113&gt;0,C113,IF(D112=1,3,0))</x:f>
        <x:v>0</x:v>
      </x:c>
      <x:c r="E113" t="n">
        <x:f>IF(D113&gt;0,D113,IF(E112=1,4,0))</x:f>
        <x:v>4</x:v>
      </x:c>
      <x:c r="F113" t="n">
        <x:f>IF(E113&gt;0,E113,IF(F112=1,5,0))</x:f>
        <x:v>4</x:v>
      </x:c>
      <x:c r="G113" t="n">
        <x:f>IF(F113&gt;0,F113,IF(G112=1,6,0))</x:f>
        <x:v>4</x:v>
      </x:c>
      <x:c r="H113" t="n">
        <x:f>IF(G113&gt;0,G113,IF(H112=1,7,0))</x:f>
        <x:v>4</x:v>
      </x:c>
      <x:c r="I113" t="n">
        <x:f>IF(H113&gt;0,H113,IF(I112=1,8,0))</x:f>
        <x:v>4</x:v>
      </x:c>
      <x:c r="J113" t="n">
        <x:f>IF(I113&gt;0,I113,IF(J112=1,9,0))</x:f>
        <x:v>4</x:v>
      </x:c>
      <x:c r="K113" t="n">
        <x:f>IF(J113&gt;0,J113,IF(K112=1,10,0))</x:f>
        <x:v>4</x:v>
      </x:c>
      <x:c r="L113" t="n">
        <x:f>IF(K113&gt;0,K113,IF(L112=1,11,0))</x:f>
        <x:v>4</x:v>
      </x:c>
      <x:c r="M113" t="n">
        <x:f>IF(L113&gt;0,L113,IF(M112=1,12,0))</x:f>
        <x:v>4</x:v>
      </x:c>
      <x:c r="N113" t="n">
        <x:f>IF(M113&gt;0,M113,IF(N112=1,13,0))</x:f>
        <x:v>4</x:v>
      </x:c>
      <x:c r="O113" t="n">
        <x:f>IF(N113&gt;0,N113,IF(O112=1,14,0))</x:f>
        <x:v>4</x:v>
      </x:c>
      <x:c r="P113" t="n">
        <x:f>IF(O113&gt;0,O113,IF(P112=1,15,0))</x:f>
        <x:v>4</x:v>
      </x:c>
      <x:c r="Q113" t="n">
        <x:f>IF(P113&gt;0,P113,IF(Q112=1,16,0))</x:f>
        <x:v>4</x:v>
      </x:c>
      <x:c r="R113" t="n">
        <x:f>IF(Q113&gt;0,Q113,IF(R112=1,17,0))</x:f>
        <x:v>4</x:v>
      </x:c>
      <x:c r="S113" t="n">
        <x:f>IF(R113&gt;0,R113,IF(S112=1,18,0))</x:f>
        <x:v>4</x:v>
      </x:c>
      <x:c r="T113" t="n">
        <x:f>IF(S113&gt;0,S113,IF(T112=1,19,0))</x:f>
        <x:v>4</x:v>
      </x:c>
      <x:c r="U113" t="n">
        <x:f>IF(T113&gt;0,T113,IF(U112=1,20,0))</x:f>
        <x:v>4</x:v>
      </x:c>
      <x:c r="V113" t="n">
        <x:f>IF(U113&gt;0,U113,IF(V112=1,21,0))</x:f>
        <x:v>4</x:v>
      </x:c>
      <x:c r="W113" t="n">
        <x:f>IF(V113&gt;0,V113,IF(W112=1,22,0))</x:f>
        <x:v>4</x:v>
      </x:c>
      <x:c r="X113" t="n">
        <x:f>IF(W113&gt;0,W113,IF(X112=1,23,0))</x:f>
        <x:v>4</x:v>
      </x:c>
      <x:c r="Y113" t="n">
        <x:f>IF(X113&gt;0,X113,IF(Y112=1,24,0))</x:f>
        <x:v>4</x:v>
      </x:c>
      <x:c r="Z113" t="n">
        <x:f>IF(Y113&gt;0,Y113,IF(Z112=1,25,0))</x:f>
        <x:v>4</x:v>
      </x:c>
      <x:c r="AA113" t="n">
        <x:f>IF(Z113&gt;0,Z113,IF(AA112=1,26,0))</x:f>
        <x:v>4</x:v>
      </x:c>
      <x:c r="AB113" t="n">
        <x:f>IF(AA113&gt;0,AA113,IF(AB112=1,27,0))</x:f>
        <x:v>4</x:v>
      </x:c>
      <x:c r="AC113" t="n">
        <x:f>IF(AB113&gt;0,AB113,IF(AC112=1,28,0))</x:f>
        <x:v>4</x:v>
      </x:c>
      <x:c r="AD113" t="n">
        <x:f>IF(AC113&gt;0,AC113,IF(AD112=1,29,0))</x:f>
        <x:v>4</x:v>
      </x:c>
      <x:c r="AE113" t="n">
        <x:f>IF(AD113&gt;0,AD113,IF(AE112=1,30,0))</x:f>
        <x:v>4</x:v>
      </x:c>
      <x:c r="AF113" t="n">
        <x:f>IF(AE113&gt;0,AE113,IF(AF112=1,31,0))</x:f>
        <x:v>4</x:v>
      </x:c>
      <x:c r="AG113" t="n">
        <x:f>IF(AF113&gt;0,AF113,IF(AG112=1,32,0))</x:f>
        <x:v>4</x:v>
      </x:c>
      <x:c r="AH113" t="n">
        <x:f>IF(AG113&gt;0,AG113,IF(AH112=1,33,0))</x:f>
        <x:v>4</x:v>
      </x:c>
      <x:c r="AI113" t="n">
        <x:f>IF(AH113&gt;0,AH113,IF(AI112=1,34,0))</x:f>
        <x:v>4</x:v>
      </x:c>
      <x:c r="AJ113" t="n">
        <x:f>IF(AI113&gt;0,AI113,IF(AJ112=1,35,0))</x:f>
        <x:v>4</x:v>
      </x:c>
      <x:c r="AK113" t="n">
        <x:f>IF(AJ113&gt;0,AJ113,IF(AK112=1,36,0))</x:f>
        <x:v>4</x:v>
      </x:c>
    </x:row>
    <x:row r="114">
      <x:c r="A114" s="32" t="str">
        <x:v>Деньги &lt; 0?</x:v>
      </x:c>
      <x:c r="B114" t="n">
        <x:f>IF(B111&lt;0,1,0)</x:f>
        <x:v>0</x:v>
      </x:c>
      <x:c r="C114" t="n">
        <x:f>IF(C111&lt;0,1,0)</x:f>
        <x:v>0</x:v>
      </x:c>
      <x:c r="D114" t="n">
        <x:f>IF(D111&lt;0,1,0)</x:f>
        <x:v>0</x:v>
      </x:c>
      <x:c r="E114" t="n">
        <x:f>IF(E111&lt;0,1,0)</x:f>
        <x:v>1</x:v>
      </x:c>
      <x:c r="F114" t="n">
        <x:f>IF(F111&lt;0,1,0)</x:f>
        <x:v>1</x:v>
      </x:c>
      <x:c r="G114" t="n">
        <x:f>IF(G111&lt;0,1,0)</x:f>
        <x:v>1</x:v>
      </x:c>
      <x:c r="H114" t="n">
        <x:f>IF(H111&lt;0,1,0)</x:f>
        <x:v>1</x:v>
      </x:c>
      <x:c r="I114" t="n">
        <x:f>IF(I111&lt;0,1,0)</x:f>
        <x:v>1</x:v>
      </x:c>
      <x:c r="J114" t="n">
        <x:f>IF(J111&lt;0,1,0)</x:f>
        <x:v>1</x:v>
      </x:c>
      <x:c r="K114" t="n">
        <x:f>IF(K111&lt;0,1,0)</x:f>
        <x:v>1</x:v>
      </x:c>
      <x:c r="L114" t="n">
        <x:f>IF(L111&lt;0,1,0)</x:f>
        <x:v>1</x:v>
      </x:c>
      <x:c r="M114" t="n">
        <x:f>IF(M111&lt;0,1,0)</x:f>
        <x:v>1</x:v>
      </x:c>
      <x:c r="N114" t="n">
        <x:f>IF(N111&lt;0,1,0)</x:f>
        <x:v>1</x:v>
      </x:c>
      <x:c r="O114" t="n">
        <x:f>IF(O111&lt;0,1,0)</x:f>
        <x:v>1</x:v>
      </x:c>
      <x:c r="P114" t="n">
        <x:f>IF(P111&lt;0,1,0)</x:f>
        <x:v>1</x:v>
      </x:c>
      <x:c r="Q114" t="n">
        <x:f>IF(Q111&lt;0,1,0)</x:f>
        <x:v>1</x:v>
      </x:c>
      <x:c r="R114" t="n">
        <x:f>IF(R111&lt;0,1,0)</x:f>
        <x:v>1</x:v>
      </x:c>
      <x:c r="S114" t="n">
        <x:f>IF(S111&lt;0,1,0)</x:f>
        <x:v>1</x:v>
      </x:c>
      <x:c r="T114" t="n">
        <x:f>IF(T111&lt;0,1,0)</x:f>
        <x:v>1</x:v>
      </x:c>
      <x:c r="U114" t="n">
        <x:f>IF(U111&lt;0,1,0)</x:f>
        <x:v>1</x:v>
      </x:c>
      <x:c r="V114" t="n">
        <x:f>IF(V111&lt;0,1,0)</x:f>
        <x:v>1</x:v>
      </x:c>
      <x:c r="W114" t="n">
        <x:f>IF(W111&lt;0,1,0)</x:f>
        <x:v>1</x:v>
      </x:c>
      <x:c r="X114" t="n">
        <x:f>IF(X111&lt;0,1,0)</x:f>
        <x:v>1</x:v>
      </x:c>
      <x:c r="Y114" t="n">
        <x:f>IF(Y111&lt;0,1,0)</x:f>
        <x:v>1</x:v>
      </x:c>
      <x:c r="Z114" t="n">
        <x:f>IF(Z111&lt;0,1,0)</x:f>
        <x:v>1</x:v>
      </x:c>
      <x:c r="AA114" t="n">
        <x:f>IF(AA111&lt;0,1,0)</x:f>
        <x:v>1</x:v>
      </x:c>
      <x:c r="AB114" t="n">
        <x:f>IF(AB111&lt;0,1,0)</x:f>
        <x:v>1</x:v>
      </x:c>
      <x:c r="AC114" t="n">
        <x:f>IF(AC111&lt;0,1,0)</x:f>
        <x:v>1</x:v>
      </x:c>
      <x:c r="AD114" t="n">
        <x:f>IF(AD111&lt;0,1,0)</x:f>
        <x:v>1</x:v>
      </x:c>
      <x:c r="AE114" t="n">
        <x:f>IF(AE111&lt;0,1,0)</x:f>
        <x:v>1</x:v>
      </x:c>
      <x:c r="AF114" t="n">
        <x:f>IF(AF111&lt;0,1,0)</x:f>
        <x:v>1</x:v>
      </x:c>
      <x:c r="AG114" t="n">
        <x:f>IF(AG111&lt;0,1,0)</x:f>
        <x:v>1</x:v>
      </x:c>
      <x:c r="AH114" t="n">
        <x:f>IF(AH111&lt;0,1,0)</x:f>
        <x:v>1</x:v>
      </x:c>
      <x:c r="AI114" t="n">
        <x:f>IF(AI111&lt;0,1,0)</x:f>
        <x:v>1</x:v>
      </x:c>
      <x:c r="AJ114" t="n">
        <x:f>IF(AJ111&lt;0,1,0)</x:f>
        <x:v>1</x:v>
      </x:c>
      <x:c r="AK114" t="n">
        <x:f>IF(AK111&lt;0,1,0)</x:f>
        <x:v>1</x:v>
      </x:c>
    </x:row>
    <x:row r="115">
      <x:c r="A115" s="32" t="str">
        <x:v>Первый месяц денег &lt; 0</x:v>
      </x:c>
      <x:c r="B115" t="n">
        <x:f>IF(B114=1,1,0)</x:f>
        <x:v>0</x:v>
      </x:c>
      <x:c r="C115" t="n">
        <x:f>IF(B115&gt;0,B115,IF(C114=1,2,0))</x:f>
        <x:v>0</x:v>
      </x:c>
      <x:c r="D115" t="n">
        <x:f>IF(C115&gt;0,C115,IF(D114=1,3,0))</x:f>
        <x:v>0</x:v>
      </x:c>
      <x:c r="E115" t="n">
        <x:f>IF(D115&gt;0,D115,IF(E114=1,4,0))</x:f>
        <x:v>4</x:v>
      </x:c>
      <x:c r="F115" t="n">
        <x:f>IF(E115&gt;0,E115,IF(F114=1,5,0))</x:f>
        <x:v>4</x:v>
      </x:c>
      <x:c r="G115" t="n">
        <x:f>IF(F115&gt;0,F115,IF(G114=1,6,0))</x:f>
        <x:v>4</x:v>
      </x:c>
      <x:c r="H115" t="n">
        <x:f>IF(G115&gt;0,G115,IF(H114=1,7,0))</x:f>
        <x:v>4</x:v>
      </x:c>
      <x:c r="I115" t="n">
        <x:f>IF(H115&gt;0,H115,IF(I114=1,8,0))</x:f>
        <x:v>4</x:v>
      </x:c>
      <x:c r="J115" t="n">
        <x:f>IF(I115&gt;0,I115,IF(J114=1,9,0))</x:f>
        <x:v>4</x:v>
      </x:c>
      <x:c r="K115" t="n">
        <x:f>IF(J115&gt;0,J115,IF(K114=1,10,0))</x:f>
        <x:v>4</x:v>
      </x:c>
      <x:c r="L115" t="n">
        <x:f>IF(K115&gt;0,K115,IF(L114=1,11,0))</x:f>
        <x:v>4</x:v>
      </x:c>
      <x:c r="M115" t="n">
        <x:f>IF(L115&gt;0,L115,IF(M114=1,12,0))</x:f>
        <x:v>4</x:v>
      </x:c>
      <x:c r="N115" t="n">
        <x:f>IF(M115&gt;0,M115,IF(N114=1,13,0))</x:f>
        <x:v>4</x:v>
      </x:c>
      <x:c r="O115" t="n">
        <x:f>IF(N115&gt;0,N115,IF(O114=1,14,0))</x:f>
        <x:v>4</x:v>
      </x:c>
      <x:c r="P115" t="n">
        <x:f>IF(O115&gt;0,O115,IF(P114=1,15,0))</x:f>
        <x:v>4</x:v>
      </x:c>
      <x:c r="Q115" t="n">
        <x:f>IF(P115&gt;0,P115,IF(Q114=1,16,0))</x:f>
        <x:v>4</x:v>
      </x:c>
      <x:c r="R115" t="n">
        <x:f>IF(Q115&gt;0,Q115,IF(R114=1,17,0))</x:f>
        <x:v>4</x:v>
      </x:c>
      <x:c r="S115" t="n">
        <x:f>IF(R115&gt;0,R115,IF(S114=1,18,0))</x:f>
        <x:v>4</x:v>
      </x:c>
      <x:c r="T115" t="n">
        <x:f>IF(S115&gt;0,S115,IF(T114=1,19,0))</x:f>
        <x:v>4</x:v>
      </x:c>
      <x:c r="U115" t="n">
        <x:f>IF(T115&gt;0,T115,IF(U114=1,20,0))</x:f>
        <x:v>4</x:v>
      </x:c>
      <x:c r="V115" t="n">
        <x:f>IF(U115&gt;0,U115,IF(V114=1,21,0))</x:f>
        <x:v>4</x:v>
      </x:c>
      <x:c r="W115" t="n">
        <x:f>IF(V115&gt;0,V115,IF(W114=1,22,0))</x:f>
        <x:v>4</x:v>
      </x:c>
      <x:c r="X115" t="n">
        <x:f>IF(W115&gt;0,W115,IF(X114=1,23,0))</x:f>
        <x:v>4</x:v>
      </x:c>
      <x:c r="Y115" t="n">
        <x:f>IF(X115&gt;0,X115,IF(Y114=1,24,0))</x:f>
        <x:v>4</x:v>
      </x:c>
      <x:c r="Z115" t="n">
        <x:f>IF(Y115&gt;0,Y115,IF(Z114=1,25,0))</x:f>
        <x:v>4</x:v>
      </x:c>
      <x:c r="AA115" t="n">
        <x:f>IF(Z115&gt;0,Z115,IF(AA114=1,26,0))</x:f>
        <x:v>4</x:v>
      </x:c>
      <x:c r="AB115" t="n">
        <x:f>IF(AA115&gt;0,AA115,IF(AB114=1,27,0))</x:f>
        <x:v>4</x:v>
      </x:c>
      <x:c r="AC115" t="n">
        <x:f>IF(AB115&gt;0,AB115,IF(AC114=1,28,0))</x:f>
        <x:v>4</x:v>
      </x:c>
      <x:c r="AD115" t="n">
        <x:f>IF(AC115&gt;0,AC115,IF(AD114=1,29,0))</x:f>
        <x:v>4</x:v>
      </x:c>
      <x:c r="AE115" t="n">
        <x:f>IF(AD115&gt;0,AD115,IF(AE114=1,30,0))</x:f>
        <x:v>4</x:v>
      </x:c>
      <x:c r="AF115" t="n">
        <x:f>IF(AE115&gt;0,AE115,IF(AF114=1,31,0))</x:f>
        <x:v>4</x:v>
      </x:c>
      <x:c r="AG115" t="n">
        <x:f>IF(AF115&gt;0,AF115,IF(AG114=1,32,0))</x:f>
        <x:v>4</x:v>
      </x:c>
      <x:c r="AH115" t="n">
        <x:f>IF(AG115&gt;0,AG115,IF(AH114=1,33,0))</x:f>
        <x:v>4</x:v>
      </x:c>
      <x:c r="AI115" t="n">
        <x:f>IF(AH115&gt;0,AH115,IF(AI114=1,34,0))</x:f>
        <x:v>4</x:v>
      </x:c>
      <x:c r="AJ115" t="n">
        <x:f>IF(AI115&gt;0,AI115,IF(AJ114=1,35,0))</x:f>
        <x:v>4</x:v>
      </x:c>
      <x:c r="AK115" t="n">
        <x:f>IF(AJ115&gt;0,AJ115,IF(AK114=1,36,0))</x:f>
        <x:v>4</x:v>
      </x:c>
    </x:row>
    <x:row r="116">
      <x:c r="A116" s="32" t="str">
        <x:v>Потребность в дополнительном капитале до резерва, ₽</x:v>
      </x:c>
      <x:c r="B116" s="55" t="n">
        <x:f>MAX(0,'Допущения'!$D$26-B111)</x:f>
        <x:v>0</x:v>
      </x:c>
      <x:c r="C116" s="55" t="n">
        <x:f>MAX(0,'Допущения'!$D$26-C111)</x:f>
        <x:v>0</x:v>
      </x:c>
      <x:c r="D116" s="55" t="n">
        <x:f>MAX(0,'Допущения'!$D$26-D111)</x:f>
        <x:v>0</x:v>
      </x:c>
      <x:c r="E116" s="55" t="n">
        <x:f>MAX(0,'Допущения'!$D$26-E111)</x:f>
        <x:v>3159594.3600000003</x:v>
      </x:c>
      <x:c r="F116" s="55" t="n">
        <x:f>MAX(0,'Допущения'!$D$26-F111)</x:f>
        <x:v>6938519.772800001</x:v>
      </x:c>
      <x:c r="G116" s="55" t="n">
        <x:f>MAX(0,'Допущения'!$D$26-G111)</x:f>
        <x:v>10236512.477344003</x:v>
      </x:c>
      <x:c r="H116" s="55" t="n">
        <x:f>MAX(0,'Допущения'!$D$26-H111)</x:f>
        <x:v>14273411.502797123</x:v>
      </x:c>
      <x:c r="I116" s="55" t="n">
        <x:f>MAX(0,'Допущения'!$D$26-I111)</x:f>
        <x:v>18181218.680241182</x:v>
      </x:c>
      <x:c r="J116" s="55" t="n">
        <x:f>MAX(0,'Допущения'!$D$26-J111)</x:f>
        <x:v>21581019.346636355</x:v>
      </x:c>
      <x:c r="K116" s="55" t="n">
        <x:f>MAX(0,'Допущения'!$D$26-K111)</x:f>
        <x:v>25080572.60220363</x:v>
      </x:c>
      <x:c r="L116" s="55" t="n">
        <x:f>MAX(0,'Допущения'!$D$26-L111)</x:f>
        <x:v>28425032.329559557</x:v>
      </x:c>
      <x:c r="M116" s="55" t="n">
        <x:f>MAX(0,'Допущения'!$D$26-M111)</x:f>
        <x:v>31617500.399268366</x:v>
      </x:c>
      <x:c r="N116" s="55" t="n">
        <x:f>MAX(0,'Допущения'!$D$26-N111)</x:f>
        <x:v>35056407.836363</x:v>
      </x:c>
      <x:c r="O116" s="55" t="n">
        <x:f>MAX(0,'Допущения'!$D$26-O111)</x:f>
        <x:v>38349342.48545334</x:v>
      </x:c>
      <x:c r="P116" s="55" t="n">
        <x:f>MAX(0,'Допущения'!$D$26-P111)</x:f>
        <x:v>41117727.30229947</x:v>
      </x:c>
      <x:c r="Q116" s="55" t="n">
        <x:f>MAX(0,'Допущения'!$D$26-Q111)</x:f>
        <x:v>43968720.59059588</x:v>
      </x:c>
      <x:c r="R116" s="55" t="n">
        <x:f>MAX(0,'Допущения'!$D$26-R111)</x:f>
        <x:v>46648732.14500496</x:v>
      </x:c>
      <x:c r="S116" s="55" t="n">
        <x:f>MAX(0,'Допущения'!$D$26-S111)</x:f>
        <x:v>49161181.60020444</x:v>
      </x:c>
      <x:c r="T116" s="55" t="n">
        <x:f>MAX(0,'Допущения'!$D$26-T111)</x:f>
        <x:v>51453899.170664154</x:v>
      </x:c>
      <x:c r="U116" s="55" t="n">
        <x:f>MAX(0,'Допущения'!$D$26-U111)</x:f>
        <x:v>53585690.101042986</x:v>
      </x:c>
      <x:c r="V116" s="55" t="n">
        <x:f>MAX(0,'Допущения'!$D$26-V111)</x:f>
        <x:v>55559772.92414254</x:v>
      </x:c>
      <x:c r="W116" s="55" t="n">
        <x:f>MAX(0,'Допущения'!$D$26-W111)</x:f>
        <x:v>57328222.456795186</x:v>
      </x:c>
      <x:c r="X116" s="55" t="n">
        <x:f>MAX(0,'Допущения'!$D$26-X111)</x:f>
        <x:v>58945209.12321682</x:v>
      </x:c>
      <x:c r="Y116" s="55" t="n">
        <x:f>MAX(0,'Допущения'!$D$26-Y111)</x:f>
        <x:v>60413762.180732064</x:v>
      </x:c>
      <x:c r="Z116" s="55" t="n">
        <x:f>MAX(0,'Допущения'!$D$26-Z111)</x:f>
        <x:v>62954749.45277345</x:v>
      </x:c>
      <x:c r="AA116" s="55" t="n">
        <x:f>MAX(0,'Допущения'!$D$26-AA111)</x:f>
        <x:v>65353181.08682114</x:v>
      </x:c>
      <x:c r="AB116" s="55" t="n">
        <x:f>MAX(0,'Допущения'!$D$26-AB111)</x:f>
        <x:v>66085922.195635006</x:v>
      </x:c>
      <x:c r="AC116" s="55" t="n">
        <x:f>MAX(0,'Допущения'!$D$26-AC111)</x:f>
        <x:v>66657559.82011778</x:v>
      </x:c>
      <x:c r="AD116" s="55" t="n">
        <x:f>MAX(0,'Допущения'!$D$26-AD111)</x:f>
        <x:v>66998959.38263456</x:v>
      </x:c>
      <x:c r="AE116" s="55" t="n">
        <x:f>MAX(0,'Допущения'!$D$26-AE111)</x:f>
        <x:v>67114725.64442465</x:v>
      </x:c>
      <x:c r="AF116" s="55" t="n">
        <x:f>MAX(0,'Допущения'!$D$26-AF111)</x:f>
        <x:v>67186773.53440799</x:v>
      </x:c>
      <x:c r="AG116" s="55" t="n">
        <x:f>MAX(0,'Допущения'!$D$26-AG111)</x:f>
        <x:v>67042123.202373415</x:v>
      </x:c>
      <x:c r="AH116" s="55" t="n">
        <x:f>MAX(0,'Допущения'!$D$26-AH111)</x:f>
        <x:v>66685108.6127613</x:v>
      </x:c>
      <x:c r="AI116" s="55" t="n">
        <x:f>MAX(0,'Допущения'!$D$26-AI111)</x:f>
        <x:v>66068137.132596135</x:v>
      </x:c>
      <x:c r="AJ116" s="55" t="n">
        <x:f>MAX(0,'Допущения'!$D$26-AJ111)</x:f>
        <x:v>65247211.019453496</x:v>
      </x:c>
      <x:c r="AK116" s="55" t="n">
        <x:f>MAX(0,'Допущения'!$D$26-AK111)</x:f>
        <x:v>64226409.36599293</x:v>
      </x:c>
    </x:row>
    <x:row r="117">
      <x:c r="A117" s="32" t="str">
        <x:v>EBITDA ≥ 0?</x:v>
      </x:c>
      <x:c r="B117" t="n">
        <x:f>IF(B106&gt;=0,1,0)</x:f>
        <x:v>0</x:v>
      </x:c>
      <x:c r="C117" t="n">
        <x:f>IF(C106&gt;=0,1,0)</x:f>
        <x:v>0</x:v>
      </x:c>
      <x:c r="D117" t="n">
        <x:f>IF(D106&gt;=0,1,0)</x:f>
        <x:v>0</x:v>
      </x:c>
      <x:c r="E117" t="n">
        <x:f>IF(E106&gt;=0,1,0)</x:f>
        <x:v>0</x:v>
      </x:c>
      <x:c r="F117" t="n">
        <x:f>IF(F106&gt;=0,1,0)</x:f>
        <x:v>0</x:v>
      </x:c>
      <x:c r="G117" t="n">
        <x:f>IF(G106&gt;=0,1,0)</x:f>
        <x:v>0</x:v>
      </x:c>
      <x:c r="H117" t="n">
        <x:f>IF(H106&gt;=0,1,0)</x:f>
        <x:v>0</x:v>
      </x:c>
      <x:c r="I117" t="n">
        <x:f>IF(I106&gt;=0,1,0)</x:f>
        <x:v>0</x:v>
      </x:c>
      <x:c r="J117" t="n">
        <x:f>IF(J106&gt;=0,1,0)</x:f>
        <x:v>0</x:v>
      </x:c>
      <x:c r="K117" t="n">
        <x:f>IF(K106&gt;=0,1,0)</x:f>
        <x:v>0</x:v>
      </x:c>
      <x:c r="L117" t="n">
        <x:f>IF(L106&gt;=0,1,0)</x:f>
        <x:v>0</x:v>
      </x:c>
      <x:c r="M117" t="n">
        <x:f>IF(M106&gt;=0,1,0)</x:f>
        <x:v>0</x:v>
      </x:c>
      <x:c r="N117" t="n">
        <x:f>IF(N106&gt;=0,1,0)</x:f>
        <x:v>0</x:v>
      </x:c>
      <x:c r="O117" t="n">
        <x:f>IF(O106&gt;=0,1,0)</x:f>
        <x:v>0</x:v>
      </x:c>
      <x:c r="P117" t="n">
        <x:f>IF(P106&gt;=0,1,0)</x:f>
        <x:v>0</x:v>
      </x:c>
      <x:c r="Q117" t="n">
        <x:f>IF(Q106&gt;=0,1,0)</x:f>
        <x:v>0</x:v>
      </x:c>
      <x:c r="R117" t="n">
        <x:f>IF(R106&gt;=0,1,0)</x:f>
        <x:v>0</x:v>
      </x:c>
      <x:c r="S117" t="n">
        <x:f>IF(S106&gt;=0,1,0)</x:f>
        <x:v>0</x:v>
      </x:c>
      <x:c r="T117" t="n">
        <x:f>IF(T106&gt;=0,1,0)</x:f>
        <x:v>0</x:v>
      </x:c>
      <x:c r="U117" t="n">
        <x:f>IF(U106&gt;=0,1,0)</x:f>
        <x:v>0</x:v>
      </x:c>
      <x:c r="V117" t="n">
        <x:f>IF(V106&gt;=0,1,0)</x:f>
        <x:v>0</x:v>
      </x:c>
      <x:c r="W117" t="n">
        <x:f>IF(W106&gt;=0,1,0)</x:f>
        <x:v>0</x:v>
      </x:c>
      <x:c r="X117" t="n">
        <x:f>IF(X106&gt;=0,1,0)</x:f>
        <x:v>0</x:v>
      </x:c>
      <x:c r="Y117" t="n">
        <x:f>IF(Y106&gt;=0,1,0)</x:f>
        <x:v>0</x:v>
      </x:c>
      <x:c r="Z117" t="n">
        <x:f>IF(Z106&gt;=0,1,0)</x:f>
        <x:v>0</x:v>
      </x:c>
      <x:c r="AA117" t="n">
        <x:f>IF(AA106&gt;=0,1,0)</x:f>
        <x:v>0</x:v>
      </x:c>
      <x:c r="AB117" t="n">
        <x:f>IF(AB106&gt;=0,1,0)</x:f>
        <x:v>0</x:v>
      </x:c>
      <x:c r="AC117" t="n">
        <x:f>IF(AC106&gt;=0,1,0)</x:f>
        <x:v>1</x:v>
      </x:c>
      <x:c r="AD117" t="n">
        <x:f>IF(AD106&gt;=0,1,0)</x:f>
        <x:v>1</x:v>
      </x:c>
      <x:c r="AE117" t="n">
        <x:f>IF(AE106&gt;=0,1,0)</x:f>
        <x:v>1</x:v>
      </x:c>
      <x:c r="AF117" t="n">
        <x:f>IF(AF106&gt;=0,1,0)</x:f>
        <x:v>1</x:v>
      </x:c>
      <x:c r="AG117" t="n">
        <x:f>IF(AG106&gt;=0,1,0)</x:f>
        <x:v>1</x:v>
      </x:c>
      <x:c r="AH117" t="n">
        <x:f>IF(AH106&gt;=0,1,0)</x:f>
        <x:v>1</x:v>
      </x:c>
      <x:c r="AI117" t="n">
        <x:f>IF(AI106&gt;=0,1,0)</x:f>
        <x:v>1</x:v>
      </x:c>
      <x:c r="AJ117" t="n">
        <x:f>IF(AJ106&gt;=0,1,0)</x:f>
        <x:v>1</x:v>
      </x:c>
      <x:c r="AK117" t="n">
        <x:f>IF(AK106&gt;=0,1,0)</x:f>
        <x:v>1</x:v>
      </x:c>
    </x:row>
    <x:row r="118">
      <x:c r="A118" s="32" t="str">
        <x:v>Первый месяц EBITDA ≥ 0</x:v>
      </x:c>
      <x:c r="B118" t="n">
        <x:f>IF(B117=1,1,0)</x:f>
        <x:v>0</x:v>
      </x:c>
      <x:c r="C118" t="n">
        <x:f>IF(B118&gt;0,B118,IF(C117=1,2,0))</x:f>
        <x:v>0</x:v>
      </x:c>
      <x:c r="D118" t="n">
        <x:f>IF(C118&gt;0,C118,IF(D117=1,3,0))</x:f>
        <x:v>0</x:v>
      </x:c>
      <x:c r="E118" t="n">
        <x:f>IF(D118&gt;0,D118,IF(E117=1,4,0))</x:f>
        <x:v>0</x:v>
      </x:c>
      <x:c r="F118" t="n">
        <x:f>IF(E118&gt;0,E118,IF(F117=1,5,0))</x:f>
        <x:v>0</x:v>
      </x:c>
      <x:c r="G118" t="n">
        <x:f>IF(F118&gt;0,F118,IF(G117=1,6,0))</x:f>
        <x:v>0</x:v>
      </x:c>
      <x:c r="H118" t="n">
        <x:f>IF(G118&gt;0,G118,IF(H117=1,7,0))</x:f>
        <x:v>0</x:v>
      </x:c>
      <x:c r="I118" t="n">
        <x:f>IF(H118&gt;0,H118,IF(I117=1,8,0))</x:f>
        <x:v>0</x:v>
      </x:c>
      <x:c r="J118" t="n">
        <x:f>IF(I118&gt;0,I118,IF(J117=1,9,0))</x:f>
        <x:v>0</x:v>
      </x:c>
      <x:c r="K118" t="n">
        <x:f>IF(J118&gt;0,J118,IF(K117=1,10,0))</x:f>
        <x:v>0</x:v>
      </x:c>
      <x:c r="L118" t="n">
        <x:f>IF(K118&gt;0,K118,IF(L117=1,11,0))</x:f>
        <x:v>0</x:v>
      </x:c>
      <x:c r="M118" t="n">
        <x:f>IF(L118&gt;0,L118,IF(M117=1,12,0))</x:f>
        <x:v>0</x:v>
      </x:c>
      <x:c r="N118" t="n">
        <x:f>IF(M118&gt;0,M118,IF(N117=1,13,0))</x:f>
        <x:v>0</x:v>
      </x:c>
      <x:c r="O118" t="n">
        <x:f>IF(N118&gt;0,N118,IF(O117=1,14,0))</x:f>
        <x:v>0</x:v>
      </x:c>
      <x:c r="P118" t="n">
        <x:f>IF(O118&gt;0,O118,IF(P117=1,15,0))</x:f>
        <x:v>0</x:v>
      </x:c>
      <x:c r="Q118" t="n">
        <x:f>IF(P118&gt;0,P118,IF(Q117=1,16,0))</x:f>
        <x:v>0</x:v>
      </x:c>
      <x:c r="R118" t="n">
        <x:f>IF(Q118&gt;0,Q118,IF(R117=1,17,0))</x:f>
        <x:v>0</x:v>
      </x:c>
      <x:c r="S118" t="n">
        <x:f>IF(R118&gt;0,R118,IF(S117=1,18,0))</x:f>
        <x:v>0</x:v>
      </x:c>
      <x:c r="T118" t="n">
        <x:f>IF(S118&gt;0,S118,IF(T117=1,19,0))</x:f>
        <x:v>0</x:v>
      </x:c>
      <x:c r="U118" t="n">
        <x:f>IF(T118&gt;0,T118,IF(U117=1,20,0))</x:f>
        <x:v>0</x:v>
      </x:c>
      <x:c r="V118" t="n">
        <x:f>IF(U118&gt;0,U118,IF(V117=1,21,0))</x:f>
        <x:v>0</x:v>
      </x:c>
      <x:c r="W118" t="n">
        <x:f>IF(V118&gt;0,V118,IF(W117=1,22,0))</x:f>
        <x:v>0</x:v>
      </x:c>
      <x:c r="X118" t="n">
        <x:f>IF(W118&gt;0,W118,IF(X117=1,23,0))</x:f>
        <x:v>0</x:v>
      </x:c>
      <x:c r="Y118" t="n">
        <x:f>IF(X118&gt;0,X118,IF(Y117=1,24,0))</x:f>
        <x:v>0</x:v>
      </x:c>
      <x:c r="Z118" t="n">
        <x:f>IF(Y118&gt;0,Y118,IF(Z117=1,25,0))</x:f>
        <x:v>0</x:v>
      </x:c>
      <x:c r="AA118" t="n">
        <x:f>IF(Z118&gt;0,Z118,IF(AA117=1,26,0))</x:f>
        <x:v>0</x:v>
      </x:c>
      <x:c r="AB118" t="n">
        <x:f>IF(AA118&gt;0,AA118,IF(AB117=1,27,0))</x:f>
        <x:v>0</x:v>
      </x:c>
      <x:c r="AC118" t="n">
        <x:f>IF(AB118&gt;0,AB118,IF(AC117=1,28,0))</x:f>
        <x:v>28</x:v>
      </x:c>
      <x:c r="AD118" t="n">
        <x:f>IF(AC118&gt;0,AC118,IF(AD117=1,29,0))</x:f>
        <x:v>28</x:v>
      </x:c>
      <x:c r="AE118" t="n">
        <x:f>IF(AD118&gt;0,AD118,IF(AE117=1,30,0))</x:f>
        <x:v>28</x:v>
      </x:c>
      <x:c r="AF118" t="n">
        <x:f>IF(AE118&gt;0,AE118,IF(AF117=1,31,0))</x:f>
        <x:v>28</x:v>
      </x:c>
      <x:c r="AG118" t="n">
        <x:f>IF(AF118&gt;0,AF118,IF(AG117=1,32,0))</x:f>
        <x:v>28</x:v>
      </x:c>
      <x:c r="AH118" t="n">
        <x:f>IF(AG118&gt;0,AG118,IF(AH117=1,33,0))</x:f>
        <x:v>28</x:v>
      </x:c>
      <x:c r="AI118" t="n">
        <x:f>IF(AH118&gt;0,AH118,IF(AI117=1,34,0))</x:f>
        <x:v>28</x:v>
      </x:c>
      <x:c r="AJ118" t="n">
        <x:f>IF(AI118&gt;0,AI118,IF(AJ117=1,35,0))</x:f>
        <x:v>28</x:v>
      </x:c>
      <x:c r="AK118" t="n">
        <x:f>IF(AJ118&gt;0,AJ118,IF(AK117=1,36,0))</x:f>
        <x:v>28</x:v>
      </x:c>
    </x:row>
    <x:row r="122" ht="26" customHeight="1">
      <x:c r="A122" s="170" t="str">
        <x:v>Экстремальный стресс — помесячная модель</x:v>
      </x:c>
      <x:c r="B122" s="170"/>
      <x:c r="C122" s="170"/>
      <x:c r="D122" s="170"/>
      <x:c r="E122" s="170"/>
      <x:c r="F122" s="170"/>
      <x:c r="G122" s="170"/>
      <x:c r="H122" s="170"/>
      <x:c r="I122" s="170"/>
      <x:c r="J122" s="170"/>
      <x:c r="K122" s="170"/>
      <x:c r="L122" s="170"/>
      <x:c r="M122" s="170"/>
      <x:c r="N122" s="170"/>
      <x:c r="O122" s="170"/>
      <x:c r="P122" s="170"/>
      <x:c r="Q122" s="170"/>
      <x:c r="R122" s="170"/>
      <x:c r="S122" s="170"/>
      <x:c r="T122" s="170"/>
      <x:c r="U122" s="170"/>
      <x:c r="V122" s="170"/>
      <x:c r="W122" s="170"/>
      <x:c r="X122" s="170"/>
      <x:c r="Y122" s="170"/>
      <x:c r="Z122" s="170"/>
      <x:c r="AA122" s="170"/>
      <x:c r="AB122" s="170"/>
      <x:c r="AC122" s="170"/>
      <x:c r="AD122" s="170"/>
      <x:c r="AE122" s="170"/>
      <x:c r="AF122" s="170"/>
      <x:c r="AG122" s="170"/>
      <x:c r="AH122" s="170"/>
      <x:c r="AI122" s="170"/>
      <x:c r="AJ122" s="170"/>
      <x:c r="AK122" s="170"/>
    </x:row>
    <x:row r="123" ht="26" customHeight="1">
      <x:c r="A123" s="170" t="str">
        <x:v>Показатель</x:v>
      </x:c>
      <x:c r="B123" s="170" t="str">
        <x:v>М1</x:v>
      </x:c>
      <x:c r="C123" s="170" t="str">
        <x:v>М2</x:v>
      </x:c>
      <x:c r="D123" s="170" t="str">
        <x:v>М3</x:v>
      </x:c>
      <x:c r="E123" s="170" t="str">
        <x:v>М4</x:v>
      </x:c>
      <x:c r="F123" s="170" t="str">
        <x:v>М5</x:v>
      </x:c>
      <x:c r="G123" s="170" t="str">
        <x:v>М6</x:v>
      </x:c>
      <x:c r="H123" s="170" t="str">
        <x:v>М7</x:v>
      </x:c>
      <x:c r="I123" s="170" t="str">
        <x:v>М8</x:v>
      </x:c>
      <x:c r="J123" s="170" t="str">
        <x:v>М9</x:v>
      </x:c>
      <x:c r="K123" s="170" t="str">
        <x:v>М10</x:v>
      </x:c>
      <x:c r="L123" s="170" t="str">
        <x:v>М11</x:v>
      </x:c>
      <x:c r="M123" s="170" t="str">
        <x:v>М12</x:v>
      </x:c>
      <x:c r="N123" s="170" t="str">
        <x:v>М13</x:v>
      </x:c>
      <x:c r="O123" s="170" t="str">
        <x:v>М14</x:v>
      </x:c>
      <x:c r="P123" s="170" t="str">
        <x:v>М15</x:v>
      </x:c>
      <x:c r="Q123" s="170" t="str">
        <x:v>М16</x:v>
      </x:c>
      <x:c r="R123" s="170" t="str">
        <x:v>М17</x:v>
      </x:c>
      <x:c r="S123" s="170" t="str">
        <x:v>М18</x:v>
      </x:c>
      <x:c r="T123" s="170" t="str">
        <x:v>М19</x:v>
      </x:c>
      <x:c r="U123" s="170" t="str">
        <x:v>М20</x:v>
      </x:c>
      <x:c r="V123" s="170" t="str">
        <x:v>М21</x:v>
      </x:c>
      <x:c r="W123" s="170" t="str">
        <x:v>М22</x:v>
      </x:c>
      <x:c r="X123" s="170" t="str">
        <x:v>М23</x:v>
      </x:c>
      <x:c r="Y123" s="170" t="str">
        <x:v>М24</x:v>
      </x:c>
      <x:c r="Z123" s="170" t="str">
        <x:v>М25</x:v>
      </x:c>
      <x:c r="AA123" s="170" t="str">
        <x:v>М26</x:v>
      </x:c>
      <x:c r="AB123" s="170" t="str">
        <x:v>М27</x:v>
      </x:c>
      <x:c r="AC123" s="170" t="str">
        <x:v>М28</x:v>
      </x:c>
      <x:c r="AD123" s="170" t="str">
        <x:v>М29</x:v>
      </x:c>
      <x:c r="AE123" s="170" t="str">
        <x:v>М30</x:v>
      </x:c>
      <x:c r="AF123" s="170" t="str">
        <x:v>М31</x:v>
      </x:c>
      <x:c r="AG123" s="170" t="str">
        <x:v>М32</x:v>
      </x:c>
      <x:c r="AH123" s="170" t="str">
        <x:v>М33</x:v>
      </x:c>
      <x:c r="AI123" s="170" t="str">
        <x:v>М34</x:v>
      </x:c>
      <x:c r="AJ123" s="170" t="str">
        <x:v>М35</x:v>
      </x:c>
      <x:c r="AK123" s="170" t="str">
        <x:v>М36</x:v>
      </x:c>
    </x:row>
    <x:row r="124">
      <x:c r="A124" s="32" t="str">
        <x:v>Аудиты</x:v>
      </x:c>
      <x:c r="B124" s="98" t="n">
        <x:f>'План аудитов'!B5*$E$5</x:f>
        <x:v>1.2</x:v>
      </x:c>
      <x:c r="C124" s="98" t="n">
        <x:f>'План аудитов'!C5*$E$5</x:f>
        <x:v>1.7999999999999998</x:v>
      </x:c>
      <x:c r="D124" s="98" t="n">
        <x:f>'План аудитов'!D5*$E$5</x:f>
        <x:v>1.7999999999999998</x:v>
      </x:c>
      <x:c r="E124" s="98" t="n">
        <x:f>'План аудитов'!E5*$E$5</x:f>
        <x:v>2.4</x:v>
      </x:c>
      <x:c r="F124" s="98" t="n">
        <x:f>'План аудитов'!F5*$E$5</x:f>
        <x:v>2.4</x:v>
      </x:c>
      <x:c r="G124" s="98" t="n">
        <x:f>'План аудитов'!G5*$E$5</x:f>
        <x:v>2.4</x:v>
      </x:c>
      <x:c r="H124" s="98" t="n">
        <x:f>'План аудитов'!H5*$E$5</x:f>
        <x:v>3</x:v>
      </x:c>
      <x:c r="I124" s="98" t="n">
        <x:f>'План аудитов'!I5*$E$5</x:f>
        <x:v>3</x:v>
      </x:c>
      <x:c r="J124" s="98" t="n">
        <x:f>'План аудитов'!J5*$E$5</x:f>
        <x:v>3</x:v>
      </x:c>
      <x:c r="K124" s="98" t="n">
        <x:f>'План аудитов'!K5*$E$5</x:f>
        <x:v>3</x:v>
      </x:c>
      <x:c r="L124" s="98" t="n">
        <x:f>'План аудитов'!L5*$E$5</x:f>
        <x:v>3</x:v>
      </x:c>
      <x:c r="M124" s="98" t="n">
        <x:f>'План аудитов'!M5*$E$5</x:f>
        <x:v>3</x:v>
      </x:c>
      <x:c r="N124" s="98" t="n">
        <x:f>'План аудитов'!N5*$E$5</x:f>
        <x:v>3.5999999999999996</x:v>
      </x:c>
      <x:c r="O124" s="98" t="n">
        <x:f>'План аудитов'!O5*$E$5</x:f>
        <x:v>3.5999999999999996</x:v>
      </x:c>
      <x:c r="P124" s="98" t="n">
        <x:f>'План аудитов'!P5*$E$5</x:f>
        <x:v>3.5999999999999996</x:v>
      </x:c>
      <x:c r="Q124" s="98" t="n">
        <x:f>'План аудитов'!Q5*$E$5</x:f>
        <x:v>3.5999999999999996</x:v>
      </x:c>
      <x:c r="R124" s="98" t="n">
        <x:f>'План аудитов'!R5*$E$5</x:f>
        <x:v>3.5999999999999996</x:v>
      </x:c>
      <x:c r="S124" s="98" t="n">
        <x:f>'План аудитов'!S5*$E$5</x:f>
        <x:v>3.5999999999999996</x:v>
      </x:c>
      <x:c r="T124" s="98" t="n">
        <x:f>'План аудитов'!T5*$E$5</x:f>
        <x:v>3.5999999999999996</x:v>
      </x:c>
      <x:c r="U124" s="98" t="n">
        <x:f>'План аудитов'!U5*$E$5</x:f>
        <x:v>3.5999999999999996</x:v>
      </x:c>
      <x:c r="V124" s="98" t="n">
        <x:f>'План аудитов'!V5*$E$5</x:f>
        <x:v>3.5999999999999996</x:v>
      </x:c>
      <x:c r="W124" s="98" t="n">
        <x:f>'План аудитов'!W5*$E$5</x:f>
        <x:v>3.5999999999999996</x:v>
      </x:c>
      <x:c r="X124" s="98" t="n">
        <x:f>'План аудитов'!X5*$E$5</x:f>
        <x:v>3.5999999999999996</x:v>
      </x:c>
      <x:c r="Y124" s="98" t="n">
        <x:f>'План аудитов'!Y5*$E$5</x:f>
        <x:v>3.5999999999999996</x:v>
      </x:c>
      <x:c r="Z124" s="98" t="n">
        <x:f>'План аудитов'!Z5*$E$5</x:f>
        <x:v>6</x:v>
      </x:c>
      <x:c r="AA124" s="98" t="n">
        <x:f>'План аудитов'!AA5*$E$5</x:f>
        <x:v>6</x:v>
      </x:c>
      <x:c r="AB124" s="98" t="n">
        <x:f>'План аудитов'!AB5*$E$5</x:f>
        <x:v>6</x:v>
      </x:c>
      <x:c r="AC124" s="98" t="n">
        <x:f>'План аудитов'!AC5*$E$5</x:f>
        <x:v>6</x:v>
      </x:c>
      <x:c r="AD124" s="98" t="n">
        <x:f>'План аудитов'!AD5*$E$5</x:f>
        <x:v>6</x:v>
      </x:c>
      <x:c r="AE124" s="98" t="n">
        <x:f>'План аудитов'!AE5*$E$5</x:f>
        <x:v>6</x:v>
      </x:c>
      <x:c r="AF124" s="98" t="n">
        <x:f>'План аудитов'!AF5*$E$5</x:f>
        <x:v>6</x:v>
      </x:c>
      <x:c r="AG124" s="98" t="n">
        <x:f>'План аудитов'!AG5*$E$5</x:f>
        <x:v>6</x:v>
      </x:c>
      <x:c r="AH124" s="98" t="n">
        <x:f>'План аудитов'!AH5*$E$5</x:f>
        <x:v>6</x:v>
      </x:c>
      <x:c r="AI124" s="98" t="n">
        <x:f>'План аудитов'!AI5*$E$5</x:f>
        <x:v>6</x:v>
      </x:c>
      <x:c r="AJ124" s="98" t="n">
        <x:f>'План аудитов'!AJ5*$E$5</x:f>
        <x:v>6</x:v>
      </x:c>
      <x:c r="AK124" s="98" t="n">
        <x:f>'План аудитов'!AK5*$E$5</x:f>
        <x:v>6</x:v>
      </x:c>
    </x:row>
    <x:row r="125">
      <x:c r="A125" s="32" t="str">
        <x:v>Оптимизации</x:v>
      </x:c>
      <x:c r="B125" s="98" t="n">
        <x:f>B124*'Допущения'!$D$5*$E$6</x:f>
        <x:v>0.36300000000000004</x:v>
      </x:c>
      <x:c r="C125" s="98" t="n">
        <x:f>C124*'Допущения'!$D$5*$E$6</x:f>
        <x:v>0.5445</x:v>
      </x:c>
      <x:c r="D125" s="98" t="n">
        <x:f>D124*'Допущения'!$D$5*$E$6</x:f>
        <x:v>0.5445</x:v>
      </x:c>
      <x:c r="E125" s="98" t="n">
        <x:f>E124*'Допущения'!$D$5*$E$6</x:f>
        <x:v>0.7260000000000001</x:v>
      </x:c>
      <x:c r="F125" s="98" t="n">
        <x:f>F124*'Допущения'!$D$5*$E$6</x:f>
        <x:v>0.7260000000000001</x:v>
      </x:c>
      <x:c r="G125" s="98" t="n">
        <x:f>G124*'Допущения'!$D$5*$E$6</x:f>
        <x:v>0.7260000000000001</x:v>
      </x:c>
      <x:c r="H125" s="98" t="n">
        <x:f>H124*'Допущения'!$D$5*$E$6</x:f>
        <x:v>0.9075000000000002</x:v>
      </x:c>
      <x:c r="I125" s="98" t="n">
        <x:f>I124*'Допущения'!$D$5*$E$6</x:f>
        <x:v>0.9075000000000002</x:v>
      </x:c>
      <x:c r="J125" s="98" t="n">
        <x:f>J124*'Допущения'!$D$5*$E$6</x:f>
        <x:v>0.9075000000000002</x:v>
      </x:c>
      <x:c r="K125" s="98" t="n">
        <x:f>K124*'Допущения'!$D$5*$E$6</x:f>
        <x:v>0.9075000000000002</x:v>
      </x:c>
      <x:c r="L125" s="98" t="n">
        <x:f>L124*'Допущения'!$D$5*$E$6</x:f>
        <x:v>0.9075000000000002</x:v>
      </x:c>
      <x:c r="M125" s="98" t="n">
        <x:f>M124*'Допущения'!$D$5*$E$6</x:f>
        <x:v>0.9075000000000002</x:v>
      </x:c>
      <x:c r="N125" s="98" t="n">
        <x:f>N124*'Допущения'!$D$5*$E$6</x:f>
        <x:v>1.089</x:v>
      </x:c>
      <x:c r="O125" s="98" t="n">
        <x:f>O124*'Допущения'!$D$5*$E$6</x:f>
        <x:v>1.089</x:v>
      </x:c>
      <x:c r="P125" s="98" t="n">
        <x:f>P124*'Допущения'!$D$5*$E$6</x:f>
        <x:v>1.089</x:v>
      </x:c>
      <x:c r="Q125" s="98" t="n">
        <x:f>Q124*'Допущения'!$D$5*$E$6</x:f>
        <x:v>1.089</x:v>
      </x:c>
      <x:c r="R125" s="98" t="n">
        <x:f>R124*'Допущения'!$D$5*$E$6</x:f>
        <x:v>1.089</x:v>
      </x:c>
      <x:c r="S125" s="98" t="n">
        <x:f>S124*'Допущения'!$D$5*$E$6</x:f>
        <x:v>1.089</x:v>
      </x:c>
      <x:c r="T125" s="98" t="n">
        <x:f>T124*'Допущения'!$D$5*$E$6</x:f>
        <x:v>1.089</x:v>
      </x:c>
      <x:c r="U125" s="98" t="n">
        <x:f>U124*'Допущения'!$D$5*$E$6</x:f>
        <x:v>1.089</x:v>
      </x:c>
      <x:c r="V125" s="98" t="n">
        <x:f>V124*'Допущения'!$D$5*$E$6</x:f>
        <x:v>1.089</x:v>
      </x:c>
      <x:c r="W125" s="98" t="n">
        <x:f>W124*'Допущения'!$D$5*$E$6</x:f>
        <x:v>1.089</x:v>
      </x:c>
      <x:c r="X125" s="98" t="n">
        <x:f>X124*'Допущения'!$D$5*$E$6</x:f>
        <x:v>1.089</x:v>
      </x:c>
      <x:c r="Y125" s="98" t="n">
        <x:f>Y124*'Допущения'!$D$5*$E$6</x:f>
        <x:v>1.089</x:v>
      </x:c>
      <x:c r="Z125" s="98" t="n">
        <x:f>Z124*'Допущения'!$D$5*$E$6</x:f>
        <x:v>1.8150000000000004</x:v>
      </x:c>
      <x:c r="AA125" s="98" t="n">
        <x:f>AA124*'Допущения'!$D$5*$E$6</x:f>
        <x:v>1.8150000000000004</x:v>
      </x:c>
      <x:c r="AB125" s="98" t="n">
        <x:f>AB124*'Допущения'!$D$5*$E$6</x:f>
        <x:v>1.8150000000000004</x:v>
      </x:c>
      <x:c r="AC125" s="98" t="n">
        <x:f>AC124*'Допущения'!$D$5*$E$6</x:f>
        <x:v>1.8150000000000004</x:v>
      </x:c>
      <x:c r="AD125" s="98" t="n">
        <x:f>AD124*'Допущения'!$D$5*$E$6</x:f>
        <x:v>1.8150000000000004</x:v>
      </x:c>
      <x:c r="AE125" s="98" t="n">
        <x:f>AE124*'Допущения'!$D$5*$E$6</x:f>
        <x:v>1.8150000000000004</x:v>
      </x:c>
      <x:c r="AF125" s="98" t="n">
        <x:f>AF124*'Допущения'!$D$5*$E$6</x:f>
        <x:v>1.8150000000000004</x:v>
      </x:c>
      <x:c r="AG125" s="98" t="n">
        <x:f>AG124*'Допущения'!$D$5*$E$6</x:f>
        <x:v>1.8150000000000004</x:v>
      </x:c>
      <x:c r="AH125" s="98" t="n">
        <x:f>AH124*'Допущения'!$D$5*$E$6</x:f>
        <x:v>1.8150000000000004</x:v>
      </x:c>
      <x:c r="AI125" s="98" t="n">
        <x:f>AI124*'Допущения'!$D$5*$E$6</x:f>
        <x:v>1.8150000000000004</x:v>
      </x:c>
      <x:c r="AJ125" s="98" t="n">
        <x:f>AJ124*'Допущения'!$D$5*$E$6</x:f>
        <x:v>1.8150000000000004</x:v>
      </x:c>
      <x:c r="AK125" s="98" t="n">
        <x:f>AK124*'Допущения'!$D$5*$E$6</x:f>
        <x:v>1.8150000000000004</x:v>
      </x:c>
    </x:row>
    <x:row r="126">
      <x:c r="A126" s="32" t="str">
        <x:v>Новые клиенты Ядра QORSYS</x:v>
      </x:c>
      <x:c r="B126" s="98" t="n">
        <x:f>IF(('Допущения'!$D$17+$E$13)=1,0*'Допущения'!$D$5*$E$6*'Допущения'!$D$6*$E$7,IF(('Допущения'!$D$17+$E$13)=2,0*'Допущения'!$D$5*$E$6*'Допущения'!$D$6*$E$7,0))</x:f>
        <x:v>0</x:v>
      </x:c>
      <x:c r="C126" s="98" t="n">
        <x:f>IF(('Допущения'!$D$17+$E$13)=1,B124*'Допущения'!$D$5*$E$6*'Допущения'!$D$6*$E$7,IF(('Допущения'!$D$17+$E$13)=2,0*'Допущения'!$D$5*$E$6*'Допущения'!$D$6*$E$7,0))</x:f>
        <x:v>0</x:v>
      </x:c>
      <x:c r="D126" s="98" t="n">
        <x:f>IF(('Допущения'!$D$17+$E$13)=1,C124*'Допущения'!$D$5*$E$6*'Допущения'!$D$6*$E$7,IF(('Допущения'!$D$17+$E$13)=2,B124*'Допущения'!$D$5*$E$6*'Допущения'!$D$6*$E$7,0))</x:f>
        <x:v>0.20328000000000002</x:v>
      </x:c>
      <x:c r="E126" s="98" t="n">
        <x:f>IF(('Допущения'!$D$17+$E$13)=1,D124*'Допущения'!$D$5*$E$6*'Допущения'!$D$6*$E$7,IF(('Допущения'!$D$17+$E$13)=2,C124*'Допущения'!$D$5*$E$6*'Допущения'!$D$6*$E$7,0))</x:f>
        <x:v>0.30491999999999997</x:v>
      </x:c>
      <x:c r="F126" s="98" t="n">
        <x:f>IF(('Допущения'!$D$17+$E$13)=1,E124*'Допущения'!$D$5*$E$6*'Допущения'!$D$6*$E$7,IF(('Допущения'!$D$17+$E$13)=2,D124*'Допущения'!$D$5*$E$6*'Допущения'!$D$6*$E$7,0))</x:f>
        <x:v>0.30491999999999997</x:v>
      </x:c>
      <x:c r="G126" s="98" t="n">
        <x:f>IF(('Допущения'!$D$17+$E$13)=1,F124*'Допущения'!$D$5*$E$6*'Допущения'!$D$6*$E$7,IF(('Допущения'!$D$17+$E$13)=2,E124*'Допущения'!$D$5*$E$6*'Допущения'!$D$6*$E$7,0))</x:f>
        <x:v>0.40656000000000003</x:v>
      </x:c>
      <x:c r="H126" s="98" t="n">
        <x:f>IF(('Допущения'!$D$17+$E$13)=1,G124*'Допущения'!$D$5*$E$6*'Допущения'!$D$6*$E$7,IF(('Допущения'!$D$17+$E$13)=2,F124*'Допущения'!$D$5*$E$6*'Допущения'!$D$6*$E$7,0))</x:f>
        <x:v>0.40656000000000003</x:v>
      </x:c>
      <x:c r="I126" s="98" t="n">
        <x:f>IF(('Допущения'!$D$17+$E$13)=1,H124*'Допущения'!$D$5*$E$6*'Допущения'!$D$6*$E$7,IF(('Допущения'!$D$17+$E$13)=2,G124*'Допущения'!$D$5*$E$6*'Допущения'!$D$6*$E$7,0))</x:f>
        <x:v>0.40656000000000003</x:v>
      </x:c>
      <x:c r="J126" s="98" t="n">
        <x:f>IF(('Допущения'!$D$17+$E$13)=1,I124*'Допущения'!$D$5*$E$6*'Допущения'!$D$6*$E$7,IF(('Допущения'!$D$17+$E$13)=2,H124*'Допущения'!$D$5*$E$6*'Допущения'!$D$6*$E$7,0))</x:f>
        <x:v>0.5082000000000001</x:v>
      </x:c>
      <x:c r="K126" s="98" t="n">
        <x:f>IF(('Допущения'!$D$17+$E$13)=1,J124*'Допущения'!$D$5*$E$6*'Допущения'!$D$6*$E$7,IF(('Допущения'!$D$17+$E$13)=2,I124*'Допущения'!$D$5*$E$6*'Допущения'!$D$6*$E$7,0))</x:f>
        <x:v>0.5082000000000001</x:v>
      </x:c>
      <x:c r="L126" s="98" t="n">
        <x:f>IF(('Допущения'!$D$17+$E$13)=1,K124*'Допущения'!$D$5*$E$6*'Допущения'!$D$6*$E$7,IF(('Допущения'!$D$17+$E$13)=2,J124*'Допущения'!$D$5*$E$6*'Допущения'!$D$6*$E$7,0))</x:f>
        <x:v>0.5082000000000001</x:v>
      </x:c>
      <x:c r="M126" s="98" t="n">
        <x:f>IF(('Допущения'!$D$17+$E$13)=1,L124*'Допущения'!$D$5*$E$6*'Допущения'!$D$6*$E$7,IF(('Допущения'!$D$17+$E$13)=2,K124*'Допущения'!$D$5*$E$6*'Допущения'!$D$6*$E$7,0))</x:f>
        <x:v>0.5082000000000001</x:v>
      </x:c>
      <x:c r="N126" s="98" t="n">
        <x:f>IF(('Допущения'!$D$17+$E$13)=1,M124*'Допущения'!$D$5*$E$6*'Допущения'!$D$6*$E$7,IF(('Допущения'!$D$17+$E$13)=2,L124*'Допущения'!$D$5*$E$6*'Допущения'!$D$6*$E$7,0))</x:f>
        <x:v>0.5082000000000001</x:v>
      </x:c>
      <x:c r="O126" s="98" t="n">
        <x:f>IF(('Допущения'!$D$17+$E$13)=1,N124*'Допущения'!$D$5*$E$6*'Допущения'!$D$6*$E$7,IF(('Допущения'!$D$17+$E$13)=2,M124*'Допущения'!$D$5*$E$6*'Допущения'!$D$6*$E$7,0))</x:f>
        <x:v>0.5082000000000001</x:v>
      </x:c>
      <x:c r="P126" s="98" t="n">
        <x:f>IF(('Допущения'!$D$17+$E$13)=1,O124*'Допущения'!$D$5*$E$6*'Допущения'!$D$6*$E$7,IF(('Допущения'!$D$17+$E$13)=2,N124*'Допущения'!$D$5*$E$6*'Допущения'!$D$6*$E$7,0))</x:f>
        <x:v>0.6098399999999999</x:v>
      </x:c>
      <x:c r="Q126" s="98" t="n">
        <x:f>IF(('Допущения'!$D$17+$E$13)=1,P124*'Допущения'!$D$5*$E$6*'Допущения'!$D$6*$E$7,IF(('Допущения'!$D$17+$E$13)=2,O124*'Допущения'!$D$5*$E$6*'Допущения'!$D$6*$E$7,0))</x:f>
        <x:v>0.6098399999999999</x:v>
      </x:c>
      <x:c r="R126" s="98" t="n">
        <x:f>IF(('Допущения'!$D$17+$E$13)=1,Q124*'Допущения'!$D$5*$E$6*'Допущения'!$D$6*$E$7,IF(('Допущения'!$D$17+$E$13)=2,P124*'Допущения'!$D$5*$E$6*'Допущения'!$D$6*$E$7,0))</x:f>
        <x:v>0.6098399999999999</x:v>
      </x:c>
      <x:c r="S126" s="98" t="n">
        <x:f>IF(('Допущения'!$D$17+$E$13)=1,R124*'Допущения'!$D$5*$E$6*'Допущения'!$D$6*$E$7,IF(('Допущения'!$D$17+$E$13)=2,Q124*'Допущения'!$D$5*$E$6*'Допущения'!$D$6*$E$7,0))</x:f>
        <x:v>0.6098399999999999</x:v>
      </x:c>
      <x:c r="T126" s="98" t="n">
        <x:f>IF(('Допущения'!$D$17+$E$13)=1,S124*'Допущения'!$D$5*$E$6*'Допущения'!$D$6*$E$7,IF(('Допущения'!$D$17+$E$13)=2,R124*'Допущения'!$D$5*$E$6*'Допущения'!$D$6*$E$7,0))</x:f>
        <x:v>0.6098399999999999</x:v>
      </x:c>
      <x:c r="U126" s="98" t="n">
        <x:f>IF(('Допущения'!$D$17+$E$13)=1,T124*'Допущения'!$D$5*$E$6*'Допущения'!$D$6*$E$7,IF(('Допущения'!$D$17+$E$13)=2,S124*'Допущения'!$D$5*$E$6*'Допущения'!$D$6*$E$7,0))</x:f>
        <x:v>0.6098399999999999</x:v>
      </x:c>
      <x:c r="V126" s="98" t="n">
        <x:f>IF(('Допущения'!$D$17+$E$13)=1,U124*'Допущения'!$D$5*$E$6*'Допущения'!$D$6*$E$7,IF(('Допущения'!$D$17+$E$13)=2,T124*'Допущения'!$D$5*$E$6*'Допущения'!$D$6*$E$7,0))</x:f>
        <x:v>0.6098399999999999</x:v>
      </x:c>
      <x:c r="W126" s="98" t="n">
        <x:f>IF(('Допущения'!$D$17+$E$13)=1,V124*'Допущения'!$D$5*$E$6*'Допущения'!$D$6*$E$7,IF(('Допущения'!$D$17+$E$13)=2,U124*'Допущения'!$D$5*$E$6*'Допущения'!$D$6*$E$7,0))</x:f>
        <x:v>0.6098399999999999</x:v>
      </x:c>
      <x:c r="X126" s="98" t="n">
        <x:f>IF(('Допущения'!$D$17+$E$13)=1,W124*'Допущения'!$D$5*$E$6*'Допущения'!$D$6*$E$7,IF(('Допущения'!$D$17+$E$13)=2,V124*'Допущения'!$D$5*$E$6*'Допущения'!$D$6*$E$7,0))</x:f>
        <x:v>0.6098399999999999</x:v>
      </x:c>
      <x:c r="Y126" s="98" t="n">
        <x:f>IF(('Допущения'!$D$17+$E$13)=1,X124*'Допущения'!$D$5*$E$6*'Допущения'!$D$6*$E$7,IF(('Допущения'!$D$17+$E$13)=2,W124*'Допущения'!$D$5*$E$6*'Допущения'!$D$6*$E$7,0))</x:f>
        <x:v>0.6098399999999999</x:v>
      </x:c>
      <x:c r="Z126" s="98" t="n">
        <x:f>IF(('Допущения'!$D$17+$E$13)=1,Y124*'Допущения'!$D$5*$E$6*'Допущения'!$D$6*$E$7,IF(('Допущения'!$D$17+$E$13)=2,X124*'Допущения'!$D$5*$E$6*'Допущения'!$D$6*$E$7,0))</x:f>
        <x:v>0.6098399999999999</x:v>
      </x:c>
      <x:c r="AA126" s="98" t="n">
        <x:f>IF(('Допущения'!$D$17+$E$13)=1,Z124*'Допущения'!$D$5*$E$6*'Допущения'!$D$6*$E$7,IF(('Допущения'!$D$17+$E$13)=2,Y124*'Допущения'!$D$5*$E$6*'Допущения'!$D$6*$E$7,0))</x:f>
        <x:v>0.6098399999999999</x:v>
      </x:c>
      <x:c r="AB126" s="98" t="n">
        <x:f>IF(('Допущения'!$D$17+$E$13)=1,AA124*'Допущения'!$D$5*$E$6*'Допущения'!$D$6*$E$7,IF(('Допущения'!$D$17+$E$13)=2,Z124*'Допущения'!$D$5*$E$6*'Допущения'!$D$6*$E$7,0))</x:f>
        <x:v>1.0164000000000002</x:v>
      </x:c>
      <x:c r="AC126" s="98" t="n">
        <x:f>IF(('Допущения'!$D$17+$E$13)=1,AB124*'Допущения'!$D$5*$E$6*'Допущения'!$D$6*$E$7,IF(('Допущения'!$D$17+$E$13)=2,AA124*'Допущения'!$D$5*$E$6*'Допущения'!$D$6*$E$7,0))</x:f>
        <x:v>1.0164000000000002</x:v>
      </x:c>
      <x:c r="AD126" s="98" t="n">
        <x:f>IF(('Допущения'!$D$17+$E$13)=1,AC124*'Допущения'!$D$5*$E$6*'Допущения'!$D$6*$E$7,IF(('Допущения'!$D$17+$E$13)=2,AB124*'Допущения'!$D$5*$E$6*'Допущения'!$D$6*$E$7,0))</x:f>
        <x:v>1.0164000000000002</x:v>
      </x:c>
      <x:c r="AE126" s="98" t="n">
        <x:f>IF(('Допущения'!$D$17+$E$13)=1,AD124*'Допущения'!$D$5*$E$6*'Допущения'!$D$6*$E$7,IF(('Допущения'!$D$17+$E$13)=2,AC124*'Допущения'!$D$5*$E$6*'Допущения'!$D$6*$E$7,0))</x:f>
        <x:v>1.0164000000000002</x:v>
      </x:c>
      <x:c r="AF126" s="98" t="n">
        <x:f>IF(('Допущения'!$D$17+$E$13)=1,AE124*'Допущения'!$D$5*$E$6*'Допущения'!$D$6*$E$7,IF(('Допущения'!$D$17+$E$13)=2,AD124*'Допущения'!$D$5*$E$6*'Допущения'!$D$6*$E$7,0))</x:f>
        <x:v>1.0164000000000002</x:v>
      </x:c>
      <x:c r="AG126" s="98" t="n">
        <x:f>IF(('Допущения'!$D$17+$E$13)=1,AF124*'Допущения'!$D$5*$E$6*'Допущения'!$D$6*$E$7,IF(('Допущения'!$D$17+$E$13)=2,AE124*'Допущения'!$D$5*$E$6*'Допущения'!$D$6*$E$7,0))</x:f>
        <x:v>1.0164000000000002</x:v>
      </x:c>
      <x:c r="AH126" s="98" t="n">
        <x:f>IF(('Допущения'!$D$17+$E$13)=1,AG124*'Допущения'!$D$5*$E$6*'Допущения'!$D$6*$E$7,IF(('Допущения'!$D$17+$E$13)=2,AF124*'Допущения'!$D$5*$E$6*'Допущения'!$D$6*$E$7,0))</x:f>
        <x:v>1.0164000000000002</x:v>
      </x:c>
      <x:c r="AI126" s="98" t="n">
        <x:f>IF(('Допущения'!$D$17+$E$13)=1,AH124*'Допущения'!$D$5*$E$6*'Допущения'!$D$6*$E$7,IF(('Допущения'!$D$17+$E$13)=2,AG124*'Допущения'!$D$5*$E$6*'Допущения'!$D$6*$E$7,0))</x:f>
        <x:v>1.0164000000000002</x:v>
      </x:c>
      <x:c r="AJ126" s="98" t="n">
        <x:f>IF(('Допущения'!$D$17+$E$13)=1,AI124*'Допущения'!$D$5*$E$6*'Допущения'!$D$6*$E$7,IF(('Допущения'!$D$17+$E$13)=2,AH124*'Допущения'!$D$5*$E$6*'Допущения'!$D$6*$E$7,0))</x:f>
        <x:v>1.0164000000000002</x:v>
      </x:c>
      <x:c r="AK126" s="98" t="n">
        <x:f>IF(('Допущения'!$D$17+$E$13)=1,AJ124*'Допущения'!$D$5*$E$6*'Допущения'!$D$6*$E$7,IF(('Допущения'!$D$17+$E$13)=2,AI124*'Допущения'!$D$5*$E$6*'Допущения'!$D$6*$E$7,0))</x:f>
        <x:v>1.0164000000000002</x:v>
      </x:c>
    </x:row>
    <x:row r="127">
      <x:c r="A127" s="32" t="str">
        <x:v>Отток клиентов</x:v>
      </x:c>
      <x:c r="B127" s="98" t="n">
        <x:f>0</x:f>
        <x:v>0</x:v>
      </x:c>
      <x:c r="C127" s="98" t="n">
        <x:f>B128*('Допущения'!$D$7+$E$11)</x:f>
        <x:v>0</x:v>
      </x:c>
      <x:c r="D127" s="98" t="n">
        <x:f>C128*('Допущения'!$D$7+$E$11)</x:f>
        <x:v>0</x:v>
      </x:c>
      <x:c r="E127" s="98" t="n">
        <x:f>D128*('Допущения'!$D$7+$E$11)</x:f>
        <x:v>0.0060984</x:v>
      </x:c>
      <x:c r="F127" s="98" t="n">
        <x:f>E128*('Допущения'!$D$7+$E$11)</x:f>
        <x:v>0.015063048</x:v>
      </x:c>
      <x:c r="G127" s="98" t="n">
        <x:f>F128*('Допущения'!$D$7+$E$11)</x:f>
        <x:v>0.02375875656</x:v>
      </x:c>
      <x:c r="H127" s="98" t="n">
        <x:f>G128*('Допущения'!$D$7+$E$11)</x:f>
        <x:v>0.0352427938632</x:v>
      </x:c>
      <x:c r="I127" s="98" t="n">
        <x:f>H128*('Допущения'!$D$7+$E$11)</x:f>
        <x:v>0.046382310047304</x:v>
      </x:c>
      <x:c r="J127" s="98" t="n">
        <x:f>I128*('Допущения'!$D$7+$E$11)</x:f>
        <x:v>0.05718764074588488</x:v>
      </x:c>
      <x:c r="K127" s="98" t="n">
        <x:f>J128*('Допущения'!$D$7+$E$11)</x:f>
        <x:v>0.07071801152350833</x:v>
      </x:c>
      <x:c r="L127" s="98" t="n">
        <x:f>K128*('Допущения'!$D$7+$E$11)</x:f>
        <x:v>0.0838424711778031</x:v>
      </x:c>
      <x:c r="M127" s="98" t="n">
        <x:f>L128*('Допущения'!$D$7+$E$11)</x:f>
        <x:v>0.096573197042469</x:v>
      </x:c>
      <x:c r="N127" s="98" t="n">
        <x:f>M128*('Допущения'!$D$7+$E$11)</x:f>
        <x:v>0.10892200113119493</x:v>
      </x:c>
      <x:c r="O127" s="98" t="n">
        <x:f>N128*('Допущения'!$D$7+$E$11)</x:f>
        <x:v>0.12090034109725908</x:v>
      </x:c>
      <x:c r="P127" s="98" t="n">
        <x:f>O128*('Допущения'!$D$7+$E$11)</x:f>
        <x:v>0.13251933086434134</x:v>
      </x:c>
      <x:c r="Q127" s="98" t="n">
        <x:f>P128*('Допущения'!$D$7+$E$11)</x:f>
        <x:v>0.1468389509384111</x:v>
      </x:c>
      <x:c r="R127" s="98" t="n">
        <x:f>Q128*('Допущения'!$D$7+$E$11)</x:f>
        <x:v>0.16072898241025876</x:v>
      </x:c>
      <x:c r="S127" s="98" t="n">
        <x:f>R128*('Допущения'!$D$7+$E$11)</x:f>
        <x:v>0.174202312937951</x:v>
      </x:c>
      <x:c r="T127" s="98" t="n">
        <x:f>S128*('Допущения'!$D$7+$E$11)</x:f>
        <x:v>0.18727144354981246</x:v>
      </x:c>
      <x:c r="U127" s="98" t="n">
        <x:f>T128*('Допущения'!$D$7+$E$11)</x:f>
        <x:v>0.1999485002433181</x:v>
      </x:c>
      <x:c r="V127" s="98" t="n">
        <x:f>U128*('Допущения'!$D$7+$E$11)</x:f>
        <x:v>0.21224524523601854</x:v>
      </x:c>
      <x:c r="W127" s="98" t="n">
        <x:f>V128*('Допущения'!$D$7+$E$11)</x:f>
        <x:v>0.224173087878938</x:v>
      </x:c>
      <x:c r="X127" s="98" t="n">
        <x:f>W128*('Допущения'!$D$7+$E$11)</x:f>
        <x:v>0.23574309524256984</x:v>
      </x:c>
      <x:c r="Y127" s="98" t="n">
        <x:f>X128*('Допущения'!$D$7+$E$11)</x:f>
        <x:v>0.24696600238529273</x:v>
      </x:c>
      <x:c r="Z127" s="98" t="n">
        <x:f>Y128*('Допущения'!$D$7+$E$11)</x:f>
        <x:v>0.25785222231373395</x:v>
      </x:c>
      <x:c r="AA127" s="98" t="n">
        <x:f>Z128*('Допущения'!$D$7+$E$11)</x:f>
        <x:v>0.26841185564432196</x:v>
      </x:c>
      <x:c r="AB127" s="98" t="n">
        <x:f>AA128*('Допущения'!$D$7+$E$11)</x:f>
        <x:v>0.2786546999749923</x:v>
      </x:c>
      <x:c r="AC127" s="98" t="n">
        <x:f>AB128*('Допущения'!$D$7+$E$11)</x:f>
        <x:v>0.30078705897574254</x:v>
      </x:c>
      <x:c r="AD127" s="98" t="n">
        <x:f>AC128*('Допущения'!$D$7+$E$11)</x:f>
        <x:v>0.32225544720647026</x:v>
      </x:c>
      <x:c r="AE127" s="98" t="n">
        <x:f>AD128*('Допущения'!$D$7+$E$11)</x:f>
        <x:v>0.34307978379027615</x:v>
      </x:c>
      <x:c r="AF127" s="98" t="n">
        <x:f>AE128*('Допущения'!$D$7+$E$11)</x:f>
        <x:v>0.36327939027656786</x:v>
      </x:c>
      <x:c r="AG127" s="98" t="n">
        <x:f>AF128*('Допущения'!$D$7+$E$11)</x:f>
        <x:v>0.3828730085682709</x:v>
      </x:c>
      <x:c r="AH127" s="98" t="n">
        <x:f>AG128*('Допущения'!$D$7+$E$11)</x:f>
        <x:v>0.4018788183112228</x:v>
      </x:c>
      <x:c r="AI127" s="98" t="n">
        <x:f>AH128*('Допущения'!$D$7+$E$11)</x:f>
        <x:v>0.4203144537618861</x:v>
      </x:c>
      <x:c r="AJ127" s="98" t="n">
        <x:f>AI128*('Допущения'!$D$7+$E$11)</x:f>
        <x:v>0.43819702014902956</x:v>
      </x:c>
      <x:c r="AK127" s="98" t="n">
        <x:f>AJ128*('Допущения'!$D$7+$E$11)</x:f>
        <x:v>0.4555431095445587</x:v>
      </x:c>
    </x:row>
    <x:row r="128">
      <x:c r="A128" s="32" t="str">
        <x:v>Активные клиенты Ядра QORSYS</x:v>
      </x:c>
      <x:c r="B128" s="98" t="n">
        <x:f>B126</x:f>
        <x:v>0</x:v>
      </x:c>
      <x:c r="C128" s="98" t="n">
        <x:f>MAX(0,B128+C126-C127)</x:f>
        <x:v>0</x:v>
      </x:c>
      <x:c r="D128" s="98" t="n">
        <x:f>MAX(0,C128+D126-D127)</x:f>
        <x:v>0.20328000000000002</x:v>
      </x:c>
      <x:c r="E128" s="98" t="n">
        <x:f>MAX(0,D128+E126-E127)</x:f>
        <x:v>0.5021016</x:v>
      </x:c>
      <x:c r="F128" s="98" t="n">
        <x:f>MAX(0,E128+F126-F127)</x:f>
        <x:v>0.791958552</x:v>
      </x:c>
      <x:c r="G128" s="98" t="n">
        <x:f>MAX(0,F128+G126-G127)</x:f>
        <x:v>1.17475979544</x:v>
      </x:c>
      <x:c r="H128" s="98" t="n">
        <x:f>MAX(0,G128+H126-H127)</x:f>
        <x:v>1.5460770015768</x:v>
      </x:c>
      <x:c r="I128" s="98" t="n">
        <x:f>MAX(0,H128+I126-I127)</x:f>
        <x:v>1.906254691529496</x:v>
      </x:c>
      <x:c r="J128" s="98" t="n">
        <x:f>MAX(0,I128+J126-J127)</x:f>
        <x:v>2.3572670507836113</x:v>
      </x:c>
      <x:c r="K128" s="98" t="n">
        <x:f>MAX(0,J128+K126-K127)</x:f>
        <x:v>2.794749039260103</x:v>
      </x:c>
      <x:c r="L128" s="98" t="n">
        <x:f>MAX(0,K128+L126-L127)</x:f>
        <x:v>3.2191065680823</x:v>
      </x:c>
      <x:c r="M128" s="98" t="n">
        <x:f>MAX(0,L128+M126-M127)</x:f>
        <x:v>3.630733371039831</x:v>
      </x:c>
      <x:c r="N128" s="98" t="n">
        <x:f>MAX(0,M128+N126-N127)</x:f>
        <x:v>4.030011369908636</x:v>
      </x:c>
      <x:c r="O128" s="98" t="n">
        <x:f>MAX(0,N128+O126-O127)</x:f>
        <x:v>4.417311028811378</x:v>
      </x:c>
      <x:c r="P128" s="98" t="n">
        <x:f>MAX(0,O128+P126-P127)</x:f>
        <x:v>4.894631697947037</x:v>
      </x:c>
      <x:c r="Q128" s="98" t="n">
        <x:f>MAX(0,P128+Q126-Q127)</x:f>
        <x:v>5.357632747008625</x:v>
      </x:c>
      <x:c r="R128" s="98" t="n">
        <x:f>MAX(0,Q128+R126-R127)</x:f>
        <x:v>5.806743764598367</x:v>
      </x:c>
      <x:c r="S128" s="98" t="n">
        <x:f>MAX(0,R128+S126-S127)</x:f>
        <x:v>6.242381451660416</x:v>
      </x:c>
      <x:c r="T128" s="98" t="n">
        <x:f>MAX(0,S128+T126-T127)</x:f>
        <x:v>6.664950008110603</x:v>
      </x:c>
      <x:c r="U128" s="98" t="n">
        <x:f>MAX(0,T128+U126-U127)</x:f>
        <x:v>7.074841507867285</x:v>
      </x:c>
      <x:c r="V128" s="98" t="n">
        <x:f>MAX(0,U128+V126-V127)</x:f>
        <x:v>7.472436262631267</x:v>
      </x:c>
      <x:c r="W128" s="98" t="n">
        <x:f>MAX(0,V128+W126-W127)</x:f>
        <x:v>7.858103174752328</x:v>
      </x:c>
      <x:c r="X128" s="98" t="n">
        <x:f>MAX(0,W128+X126-X127)</x:f>
        <x:v>8.232200079509758</x:v>
      </x:c>
      <x:c r="Y128" s="98" t="n">
        <x:f>MAX(0,X128+Y126-Y127)</x:f>
        <x:v>8.595074077124465</x:v>
      </x:c>
      <x:c r="Z128" s="98" t="n">
        <x:f>MAX(0,Y128+Z126-Z127)</x:f>
        <x:v>8.947061854810732</x:v>
      </x:c>
      <x:c r="AA128" s="98" t="n">
        <x:f>MAX(0,Z128+AA126-AA127)</x:f>
        <x:v>9.28848999916641</x:v>
      </x:c>
      <x:c r="AB128" s="98" t="n">
        <x:f>MAX(0,AA128+AB126-AB127)</x:f>
        <x:v>10.026235299191418</x:v>
      </x:c>
      <x:c r="AC128" s="98" t="n">
        <x:f>MAX(0,AB128+AC126-AC127)</x:f>
        <x:v>10.741848240215676</x:v>
      </x:c>
      <x:c r="AD128" s="98" t="n">
        <x:f>MAX(0,AC128+AD126-AD127)</x:f>
        <x:v>11.435992793009206</x:v>
      </x:c>
      <x:c r="AE128" s="98" t="n">
        <x:f>MAX(0,AD128+AE126-AE127)</x:f>
        <x:v>12.10931300921893</x:v>
      </x:c>
      <x:c r="AF128" s="98" t="n">
        <x:f>MAX(0,AE128+AF126-AF127)</x:f>
        <x:v>12.762433618942364</x:v>
      </x:c>
      <x:c r="AG128" s="98" t="n">
        <x:f>MAX(0,AF128+AG126-AG127)</x:f>
        <x:v>13.395960610374093</x:v>
      </x:c>
      <x:c r="AH128" s="98" t="n">
        <x:f>MAX(0,AG128+AH126-AH127)</x:f>
        <x:v>14.01048179206287</x:v>
      </x:c>
      <x:c r="AI128" s="98" t="n">
        <x:f>MAX(0,AH128+AI126-AI127)</x:f>
        <x:v>14.606567338300986</x:v>
      </x:c>
      <x:c r="AJ128" s="98" t="n">
        <x:f>MAX(0,AI128+AJ126-AJ127)</x:f>
        <x:v>15.184770318151957</x:v>
      </x:c>
      <x:c r="AK128" s="98" t="n">
        <x:f>MAX(0,AJ128+AK126-AK127)</x:f>
        <x:v>15.745627208607397</x:v>
      </x:c>
    </x:row>
    <x:row r="129">
      <x:c r="A129" s="32" t="str">
        <x:v>Выручка лицензий, ₽</x:v>
      </x:c>
      <x:c r="B129" s="55" t="n">
        <x:f>B128*'Допущения'!$D$8*$E$8</x:f>
        <x:v>0</x:v>
      </x:c>
      <x:c r="C129" s="55" t="n">
        <x:f>C128*'Допущения'!$D$8*$E$8</x:f>
        <x:v>0</x:v>
      </x:c>
      <x:c r="D129" s="55" t="n">
        <x:f>D128*'Допущения'!$D$8*$E$8</x:f>
        <x:v>43197.00000000001</x:v>
      </x:c>
      <x:c r="E129" s="55" t="n">
        <x:f>E128*'Допущения'!$D$8*$E$8</x:f>
        <x:v>106696.59000000001</x:v>
      </x:c>
      <x:c r="F129" s="55" t="n">
        <x:f>F128*'Допущения'!$D$8*$E$8</x:f>
        <x:v>168291.1923</x:v>
      </x:c>
      <x:c r="G129" s="55" t="n">
        <x:f>G128*'Допущения'!$D$8*$E$8</x:f>
        <x:v>249636.456531</x:v>
      </x:c>
      <x:c r="H129" s="55" t="n">
        <x:f>H128*'Допущения'!$D$8*$E$8</x:f>
        <x:v>328541.36283506994</x:v>
      </x:c>
      <x:c r="I129" s="55" t="n">
        <x:f>I128*'Допущения'!$D$8*$E$8</x:f>
        <x:v>405079.1219500179</x:v>
      </x:c>
      <x:c r="J129" s="55" t="n">
        <x:f>J128*'Допущения'!$D$8*$E$8</x:f>
        <x:v>500919.2482915174</x:v>
      </x:c>
      <x:c r="K129" s="55" t="n">
        <x:f>K128*'Допущения'!$D$8*$E$8</x:f>
        <x:v>593884.1708427719</x:v>
      </x:c>
      <x:c r="L129" s="55" t="n">
        <x:f>L128*'Допущения'!$D$8*$E$8</x:f>
        <x:v>684060.1457174887</x:v>
      </x:c>
      <x:c r="M129" s="55" t="n">
        <x:f>M128*'Допущения'!$D$8*$E$8</x:f>
        <x:v>771530.8413459641</x:v>
      </x:c>
      <x:c r="N129" s="55" t="n">
        <x:f>N128*'Допущения'!$D$8*$E$8</x:f>
        <x:v>856377.4161055852</x:v>
      </x:c>
      <x:c r="O129" s="55" t="n">
        <x:f>O128*'Допущения'!$D$8*$E$8</x:f>
        <x:v>938678.5936224177</x:v>
      </x:c>
      <x:c r="P129" s="55" t="n">
        <x:f>P128*'Допущения'!$D$8*$E$8</x:f>
        <x:v>1040109.2358137452</x:v>
      </x:c>
      <x:c r="Q129" s="55" t="n">
        <x:f>Q128*'Допущения'!$D$8*$E$8</x:f>
        <x:v>1138496.9587393329</x:v>
      </x:c>
      <x:c r="R129" s="55" t="n">
        <x:f>R128*'Допущения'!$D$8*$E$8</x:f>
        <x:v>1233933.0499771528</x:v>
      </x:c>
      <x:c r="S129" s="55" t="n">
        <x:f>S128*'Допущения'!$D$8*$E$8</x:f>
        <x:v>1326506.0584778383</x:v>
      </x:c>
      <x:c r="T129" s="55" t="n">
        <x:f>T128*'Допущения'!$D$8*$E$8</x:f>
        <x:v>1416301.8767235032</x:v>
      </x:c>
      <x:c r="U129" s="55" t="n">
        <x:f>U128*'Допущения'!$D$8*$E$8</x:f>
        <x:v>1503403.820421798</x:v>
      </x:c>
      <x:c r="V129" s="55" t="n">
        <x:f>V128*'Допущения'!$D$8*$E$8</x:f>
        <x:v>1587892.7058091443</x:v>
      </x:c>
      <x:c r="W129" s="55" t="n">
        <x:f>W128*'Допущения'!$D$8*$E$8</x:f>
        <x:v>1669846.9246348697</x:v>
      </x:c>
      <x:c r="X129" s="55" t="n">
        <x:f>X128*'Допущения'!$D$8*$E$8</x:f>
        <x:v>1749342.5168958234</x:v>
      </x:c>
      <x:c r="Y129" s="55" t="n">
        <x:f>Y128*'Допущения'!$D$8*$E$8</x:f>
        <x:v>1826453.2413889489</x:v>
      </x:c>
      <x:c r="Z129" s="55" t="n">
        <x:f>Z128*'Допущения'!$D$8*$E$8</x:f>
        <x:v>1901250.6441472804</x:v>
      </x:c>
      <x:c r="AA129" s="55" t="n">
        <x:f>AA128*'Допущения'!$D$8*$E$8</x:f>
        <x:v>1973804.1248228622</x:v>
      </x:c>
      <x:c r="AB129" s="55" t="n">
        <x:f>AB128*'Допущения'!$D$8*$E$8</x:f>
        <x:v>2130575.0010781763</x:v>
      </x:c>
      <x:c r="AC129" s="55" t="n">
        <x:f>AC128*'Допущения'!$D$8*$E$8</x:f>
        <x:v>2282642.751045831</x:v>
      </x:c>
      <x:c r="AD129" s="55" t="n">
        <x:f>AD128*'Допущения'!$D$8*$E$8</x:f>
        <x:v>2430148.468514456</x:v>
      </x:c>
      <x:c r="AE129" s="55" t="n">
        <x:f>AE128*'Допущения'!$D$8*$E$8</x:f>
        <x:v>2573229.0144590223</x:v>
      </x:c>
      <x:c r="AF129" s="55" t="n">
        <x:f>AF128*'Допущения'!$D$8*$E$8</x:f>
        <x:v>2712017.144025252</x:v>
      </x:c>
      <x:c r="AG129" s="55" t="n">
        <x:f>AG128*'Допущения'!$D$8*$E$8</x:f>
        <x:v>2846641.6297044945</x:v>
      </x:c>
      <x:c r="AH129" s="55" t="n">
        <x:f>AH128*'Допущения'!$D$8*$E$8</x:f>
        <x:v>2977227.38081336</x:v>
      </x:c>
      <x:c r="AI129" s="55" t="n">
        <x:f>AI128*'Допущения'!$D$8*$E$8</x:f>
        <x:v>3103895.5593889593</x:v>
      </x:c>
      <x:c r="AJ129" s="55" t="n">
        <x:f>AJ128*'Допущения'!$D$8*$E$8</x:f>
        <x:v>3226763.6926072906</x:v>
      </x:c>
      <x:c r="AK129" s="55" t="n">
        <x:f>AK128*'Допущения'!$D$8*$E$8</x:f>
        <x:v>3345945.7818290717</x:v>
      </x:c>
    </x:row>
    <x:row r="130">
      <x:c r="A130" s="32" t="str">
        <x:v>Выручка оптимизаций, ₽</x:v>
      </x:c>
      <x:c r="B130" s="55" t="n">
        <x:f>B125*'Допущения'!$D$9*$E$8</x:f>
        <x:v>462825.00000000006</x:v>
      </x:c>
      <x:c r="C130" s="55" t="n">
        <x:f>C125*'Допущения'!$D$9*$E$8</x:f>
        <x:v>694237.5</x:v>
      </x:c>
      <x:c r="D130" s="55" t="n">
        <x:f>D125*'Допущения'!$D$9*$E$8</x:f>
        <x:v>694237.5</x:v>
      </x:c>
      <x:c r="E130" s="55" t="n">
        <x:f>E125*'Допущения'!$D$9*$E$8</x:f>
        <x:v>925650.0000000001</x:v>
      </x:c>
      <x:c r="F130" s="55" t="n">
        <x:f>F125*'Допущения'!$D$9*$E$8</x:f>
        <x:v>925650.0000000001</x:v>
      </x:c>
      <x:c r="G130" s="55" t="n">
        <x:f>G125*'Допущения'!$D$9*$E$8</x:f>
        <x:v>925650.0000000001</x:v>
      </x:c>
      <x:c r="H130" s="55" t="n">
        <x:f>H125*'Допущения'!$D$9*$E$8</x:f>
        <x:v>1157062.5000000002</x:v>
      </x:c>
      <x:c r="I130" s="55" t="n">
        <x:f>I125*'Допущения'!$D$9*$E$8</x:f>
        <x:v>1157062.5000000002</x:v>
      </x:c>
      <x:c r="J130" s="55" t="n">
        <x:f>J125*'Допущения'!$D$9*$E$8</x:f>
        <x:v>1157062.5000000002</x:v>
      </x:c>
      <x:c r="K130" s="55" t="n">
        <x:f>K125*'Допущения'!$D$9*$E$8</x:f>
        <x:v>1157062.5000000002</x:v>
      </x:c>
      <x:c r="L130" s="55" t="n">
        <x:f>L125*'Допущения'!$D$9*$E$8</x:f>
        <x:v>1157062.5000000002</x:v>
      </x:c>
      <x:c r="M130" s="55" t="n">
        <x:f>M125*'Допущения'!$D$9*$E$8</x:f>
        <x:v>1157062.5000000002</x:v>
      </x:c>
      <x:c r="N130" s="55" t="n">
        <x:f>N125*'Допущения'!$D$9*$E$8</x:f>
        <x:v>1388475</x:v>
      </x:c>
      <x:c r="O130" s="55" t="n">
        <x:f>O125*'Допущения'!$D$9*$E$8</x:f>
        <x:v>1388475</x:v>
      </x:c>
      <x:c r="P130" s="55" t="n">
        <x:f>P125*'Допущения'!$D$9*$E$8</x:f>
        <x:v>1388475</x:v>
      </x:c>
      <x:c r="Q130" s="55" t="n">
        <x:f>Q125*'Допущения'!$D$9*$E$8</x:f>
        <x:v>1388475</x:v>
      </x:c>
      <x:c r="R130" s="55" t="n">
        <x:f>R125*'Допущения'!$D$9*$E$8</x:f>
        <x:v>1388475</x:v>
      </x:c>
      <x:c r="S130" s="55" t="n">
        <x:f>S125*'Допущения'!$D$9*$E$8</x:f>
        <x:v>1388475</x:v>
      </x:c>
      <x:c r="T130" s="55" t="n">
        <x:f>T125*'Допущения'!$D$9*$E$8</x:f>
        <x:v>1388475</x:v>
      </x:c>
      <x:c r="U130" s="55" t="n">
        <x:f>U125*'Допущения'!$D$9*$E$8</x:f>
        <x:v>1388475</x:v>
      </x:c>
      <x:c r="V130" s="55" t="n">
        <x:f>V125*'Допущения'!$D$9*$E$8</x:f>
        <x:v>1388475</x:v>
      </x:c>
      <x:c r="W130" s="55" t="n">
        <x:f>W125*'Допущения'!$D$9*$E$8</x:f>
        <x:v>1388475</x:v>
      </x:c>
      <x:c r="X130" s="55" t="n">
        <x:f>X125*'Допущения'!$D$9*$E$8</x:f>
        <x:v>1388475</x:v>
      </x:c>
      <x:c r="Y130" s="55" t="n">
        <x:f>Y125*'Допущения'!$D$9*$E$8</x:f>
        <x:v>1388475</x:v>
      </x:c>
      <x:c r="Z130" s="55" t="n">
        <x:f>Z125*'Допущения'!$D$9*$E$8</x:f>
        <x:v>2314125.0000000005</x:v>
      </x:c>
      <x:c r="AA130" s="55" t="n">
        <x:f>AA125*'Допущения'!$D$9*$E$8</x:f>
        <x:v>2314125.0000000005</x:v>
      </x:c>
      <x:c r="AB130" s="55" t="n">
        <x:f>AB125*'Допущения'!$D$9*$E$8</x:f>
        <x:v>2314125.0000000005</x:v>
      </x:c>
      <x:c r="AC130" s="55" t="n">
        <x:f>AC125*'Допущения'!$D$9*$E$8</x:f>
        <x:v>2314125.0000000005</x:v>
      </x:c>
      <x:c r="AD130" s="55" t="n">
        <x:f>AD125*'Допущения'!$D$9*$E$8</x:f>
        <x:v>2314125.0000000005</x:v>
      </x:c>
      <x:c r="AE130" s="55" t="n">
        <x:f>AE125*'Допущения'!$D$9*$E$8</x:f>
        <x:v>2314125.0000000005</x:v>
      </x:c>
      <x:c r="AF130" s="55" t="n">
        <x:f>AF125*'Допущения'!$D$9*$E$8</x:f>
        <x:v>2314125.0000000005</x:v>
      </x:c>
      <x:c r="AG130" s="55" t="n">
        <x:f>AG125*'Допущения'!$D$9*$E$8</x:f>
        <x:v>2314125.0000000005</x:v>
      </x:c>
      <x:c r="AH130" s="55" t="n">
        <x:f>AH125*'Допущения'!$D$9*$E$8</x:f>
        <x:v>2314125.0000000005</x:v>
      </x:c>
      <x:c r="AI130" s="55" t="n">
        <x:f>AI125*'Допущения'!$D$9*$E$8</x:f>
        <x:v>2314125.0000000005</x:v>
      </x:c>
      <x:c r="AJ130" s="55" t="n">
        <x:f>AJ125*'Допущения'!$D$9*$E$8</x:f>
        <x:v>2314125.0000000005</x:v>
      </x:c>
      <x:c r="AK130" s="55" t="n">
        <x:f>AK125*'Допущения'!$D$9*$E$8</x:f>
        <x:v>2314125.0000000005</x:v>
      </x:c>
    </x:row>
    <x:row r="131">
      <x:c r="A131" s="32" t="str">
        <x:v>Итого выручка, ₽</x:v>
      </x:c>
      <x:c r="B131" s="55" t="n">
        <x:f>SUM(B129:B130)</x:f>
        <x:v>462825.00000000006</x:v>
      </x:c>
      <x:c r="C131" s="55" t="n">
        <x:f>SUM(C129:C130)</x:f>
        <x:v>694237.5</x:v>
      </x:c>
      <x:c r="D131" s="55" t="n">
        <x:f>SUM(D129:D130)</x:f>
        <x:v>737434.5</x:v>
      </x:c>
      <x:c r="E131" s="55" t="n">
        <x:f>SUM(E129:E130)</x:f>
        <x:v>1032346.5900000001</x:v>
      </x:c>
      <x:c r="F131" s="55" t="n">
        <x:f>SUM(F129:F130)</x:f>
        <x:v>1093941.1923000002</x:v>
      </x:c>
      <x:c r="G131" s="55" t="n">
        <x:f>SUM(G129:G130)</x:f>
        <x:v>1175286.456531</x:v>
      </x:c>
      <x:c r="H131" s="55" t="n">
        <x:f>SUM(H129:H130)</x:f>
        <x:v>1485603.8628350701</x:v>
      </x:c>
      <x:c r="I131" s="55" t="n">
        <x:f>SUM(I129:I130)</x:f>
        <x:v>1562141.6219500182</x:v>
      </x:c>
      <x:c r="J131" s="55" t="n">
        <x:f>SUM(J129:J130)</x:f>
        <x:v>1657981.7482915176</x:v>
      </x:c>
      <x:c r="K131" s="55" t="n">
        <x:f>SUM(K129:K130)</x:f>
        <x:v>1750946.6708427721</x:v>
      </x:c>
      <x:c r="L131" s="55" t="n">
        <x:f>SUM(L129:L130)</x:f>
        <x:v>1841122.645717489</x:v>
      </x:c>
      <x:c r="M131" s="55" t="n">
        <x:f>SUM(M129:M130)</x:f>
        <x:v>1928593.3413459645</x:v>
      </x:c>
      <x:c r="N131" s="55" t="n">
        <x:f>SUM(N129:N130)</x:f>
        <x:v>2244852.416105585</x:v>
      </x:c>
      <x:c r="O131" s="55" t="n">
        <x:f>SUM(O129:O130)</x:f>
        <x:v>2327153.5936224177</x:v>
      </x:c>
      <x:c r="P131" s="55" t="n">
        <x:f>SUM(P129:P130)</x:f>
        <x:v>2428584.2358137453</x:v>
      </x:c>
      <x:c r="Q131" s="55" t="n">
        <x:f>SUM(Q129:Q130)</x:f>
        <x:v>2526971.958739333</x:v>
      </x:c>
      <x:c r="R131" s="55" t="n">
        <x:f>SUM(R129:R130)</x:f>
        <x:v>2622408.0499771526</x:v>
      </x:c>
      <x:c r="S131" s="55" t="n">
        <x:f>SUM(S129:S130)</x:f>
        <x:v>2714981.0584778385</x:v>
      </x:c>
      <x:c r="T131" s="55" t="n">
        <x:f>SUM(T129:T130)</x:f>
        <x:v>2804776.876723503</x:v>
      </x:c>
      <x:c r="U131" s="55" t="n">
        <x:f>SUM(U129:U130)</x:f>
        <x:v>2891878.820421798</x:v>
      </x:c>
      <x:c r="V131" s="55" t="n">
        <x:f>SUM(V129:V130)</x:f>
        <x:v>2976367.7058091443</x:v>
      </x:c>
      <x:c r="W131" s="55" t="n">
        <x:f>SUM(W129:W130)</x:f>
        <x:v>3058321.9246348697</x:v>
      </x:c>
      <x:c r="X131" s="55" t="n">
        <x:f>SUM(X129:X130)</x:f>
        <x:v>3137817.516895823</x:v>
      </x:c>
      <x:c r="Y131" s="55" t="n">
        <x:f>SUM(Y129:Y130)</x:f>
        <x:v>3214928.2413889486</x:v>
      </x:c>
      <x:c r="Z131" s="55" t="n">
        <x:f>SUM(Z129:Z130)</x:f>
        <x:v>4215375.644147281</x:v>
      </x:c>
      <x:c r="AA131" s="55" t="n">
        <x:f>SUM(AA129:AA130)</x:f>
        <x:v>4287929.124822862</x:v>
      </x:c>
      <x:c r="AB131" s="55" t="n">
        <x:f>SUM(AB129:AB130)</x:f>
        <x:v>4444700.001078177</x:v>
      </x:c>
      <x:c r="AC131" s="55" t="n">
        <x:f>SUM(AC129:AC130)</x:f>
        <x:v>4596767.7510458315</x:v>
      </x:c>
      <x:c r="AD131" s="55" t="n">
        <x:f>SUM(AD129:AD130)</x:f>
        <x:v>4744273.468514456</x:v>
      </x:c>
      <x:c r="AE131" s="55" t="n">
        <x:f>SUM(AE129:AE130)</x:f>
        <x:v>4887354.014459023</x:v>
      </x:c>
      <x:c r="AF131" s="55" t="n">
        <x:f>SUM(AF129:AF130)</x:f>
        <x:v>5026142.144025253</x:v>
      </x:c>
      <x:c r="AG131" s="55" t="n">
        <x:f>SUM(AG129:AG130)</x:f>
        <x:v>5160766.629704495</x:v>
      </x:c>
      <x:c r="AH131" s="55" t="n">
        <x:f>SUM(AH129:AH130)</x:f>
        <x:v>5291352.38081336</x:v>
      </x:c>
      <x:c r="AI131" s="55" t="n">
        <x:f>SUM(AI129:AI130)</x:f>
        <x:v>5418020.55938896</x:v>
      </x:c>
      <x:c r="AJ131" s="55" t="n">
        <x:f>SUM(AJ129:AJ130)</x:f>
        <x:v>5540888.692607291</x:v>
      </x:c>
      <x:c r="AK131" s="55" t="n">
        <x:f>SUM(AK129:AK130)</x:f>
        <x:v>5660070.781829072</x:v>
      </x:c>
    </x:row>
    <x:row r="132">
      <x:c r="A132" s="32" t="str">
        <x:v>Себестоимость аудитов, ₽</x:v>
      </x:c>
      <x:c r="B132" s="55" t="n">
        <x:f>B124*'Допущения'!$D$10*$E$9*(1-'Допущения'!$D$11)^0</x:f>
        <x:v>324000</x:v>
      </x:c>
      <x:c r="C132" s="55" t="n">
        <x:f>C124*'Допущения'!$D$10*$E$9*(1-'Допущения'!$D$11)^0</x:f>
        <x:v>485999.9999999999</x:v>
      </x:c>
      <x:c r="D132" s="55" t="n">
        <x:f>D124*'Допущения'!$D$10*$E$9*(1-'Допущения'!$D$11)^0</x:f>
        <x:v>485999.9999999999</x:v>
      </x:c>
      <x:c r="E132" s="55" t="n">
        <x:f>E124*'Допущения'!$D$10*$E$9*(1-'Допущения'!$D$11)^1</x:f>
        <x:v>596160</x:v>
      </x:c>
      <x:c r="F132" s="55" t="n">
        <x:f>F124*'Допущения'!$D$10*$E$9*(1-'Допущения'!$D$11)^1</x:f>
        <x:v>596160</x:v>
      </x:c>
      <x:c r="G132" s="55" t="n">
        <x:f>G124*'Допущения'!$D$10*$E$9*(1-'Допущения'!$D$11)^1</x:f>
        <x:v>596160</x:v>
      </x:c>
      <x:c r="H132" s="55" t="n">
        <x:f>H124*'Допущения'!$D$10*$E$9*(1-'Допущения'!$D$11)^2</x:f>
        <x:v>685584</x:v>
      </x:c>
      <x:c r="I132" s="55" t="n">
        <x:f>I124*'Допущения'!$D$10*$E$9*(1-'Допущения'!$D$11)^2</x:f>
        <x:v>685584</x:v>
      </x:c>
      <x:c r="J132" s="55" t="n">
        <x:f>J124*'Допущения'!$D$10*$E$9*(1-'Допущения'!$D$11)^2</x:f>
        <x:v>685584</x:v>
      </x:c>
      <x:c r="K132" s="55" t="n">
        <x:f>K124*'Допущения'!$D$10*$E$9*(1-'Допущения'!$D$11)^3</x:f>
        <x:v>630737.28</x:v>
      </x:c>
      <x:c r="L132" s="55" t="n">
        <x:f>L124*'Допущения'!$D$10*$E$9*(1-'Допущения'!$D$11)^3</x:f>
        <x:v>630737.28</x:v>
      </x:c>
      <x:c r="M132" s="55" t="n">
        <x:f>M124*'Допущения'!$D$10*$E$9*(1-'Допущения'!$D$11)^3</x:f>
        <x:v>630737.28</x:v>
      </x:c>
      <x:c r="N132" s="55" t="n">
        <x:f>N124*'Допущения'!$D$10*$E$9*(1-'Допущения'!$D$11)^4</x:f>
        <x:v>696333.9571199999</x:v>
      </x:c>
      <x:c r="O132" s="55" t="n">
        <x:f>O124*'Допущения'!$D$10*$E$9*(1-'Допущения'!$D$11)^4</x:f>
        <x:v>696333.9571199999</x:v>
      </x:c>
      <x:c r="P132" s="55" t="n">
        <x:f>P124*'Допущения'!$D$10*$E$9*(1-'Допущения'!$D$11)^4</x:f>
        <x:v>696333.9571199999</x:v>
      </x:c>
      <x:c r="Q132" s="55" t="n">
        <x:f>Q124*'Допущения'!$D$10*$E$9*(1-'Допущения'!$D$11)^5</x:f>
        <x:v>640627.2405504</x:v>
      </x:c>
      <x:c r="R132" s="55" t="n">
        <x:f>R124*'Допущения'!$D$10*$E$9*(1-'Допущения'!$D$11)^5</x:f>
        <x:v>640627.2405504</x:v>
      </x:c>
      <x:c r="S132" s="55" t="n">
        <x:f>S124*'Допущения'!$D$10*$E$9*(1-'Допущения'!$D$11)^5</x:f>
        <x:v>640627.2405504</x:v>
      </x:c>
      <x:c r="T132" s="55" t="n">
        <x:f>T124*'Допущения'!$D$10*$E$9*(1-'Допущения'!$D$11)^6</x:f>
        <x:v>589377.061306368</x:v>
      </x:c>
      <x:c r="U132" s="55" t="n">
        <x:f>U124*'Допущения'!$D$10*$E$9*(1-'Допущения'!$D$11)^6</x:f>
        <x:v>589377.061306368</x:v>
      </x:c>
      <x:c r="V132" s="55" t="n">
        <x:f>V124*'Допущения'!$D$10*$E$9*(1-'Допущения'!$D$11)^6</x:f>
        <x:v>589377.061306368</x:v>
      </x:c>
      <x:c r="W132" s="55" t="n">
        <x:f>W124*'Допущения'!$D$10*$E$9*(1-'Допущения'!$D$11)^7</x:f>
        <x:v>542226.8964018585</x:v>
      </x:c>
      <x:c r="X132" s="55" t="n">
        <x:f>X124*'Допущения'!$D$10*$E$9*(1-'Допущения'!$D$11)^7</x:f>
        <x:v>542226.8964018585</x:v>
      </x:c>
      <x:c r="Y132" s="55" t="n">
        <x:f>Y124*'Допущения'!$D$10*$E$9*(1-'Допущения'!$D$11)^7</x:f>
        <x:v>542226.8964018585</x:v>
      </x:c>
      <x:c r="Z132" s="55" t="n">
        <x:f>Z124*'Допущения'!$D$10*$E$9*(1-'Допущения'!$D$11)^8</x:f>
        <x:v>831414.57448285</x:v>
      </x:c>
      <x:c r="AA132" s="55" t="n">
        <x:f>AA124*'Допущения'!$D$10*$E$9*(1-'Допущения'!$D$11)^8</x:f>
        <x:v>831414.57448285</x:v>
      </x:c>
      <x:c r="AB132" s="55" t="n">
        <x:f>AB124*'Допущения'!$D$10*$E$9*(1-'Допущения'!$D$11)^8</x:f>
        <x:v>831414.57448285</x:v>
      </x:c>
      <x:c r="AC132" s="55" t="n">
        <x:f>AC124*'Допущения'!$D$10*$E$9*(1-'Допущения'!$D$11)^9</x:f>
        <x:v>764901.4085242221</x:v>
      </x:c>
      <x:c r="AD132" s="55" t="n">
        <x:f>AD124*'Допущения'!$D$10*$E$9*(1-'Допущения'!$D$11)^9</x:f>
        <x:v>764901.4085242221</x:v>
      </x:c>
      <x:c r="AE132" s="55" t="n">
        <x:f>AE124*'Допущения'!$D$10*$E$9*(1-'Допущения'!$D$11)^9</x:f>
        <x:v>764901.4085242221</x:v>
      </x:c>
      <x:c r="AF132" s="55" t="n">
        <x:f>AF124*'Допущения'!$D$10*$E$9*(1-'Допущения'!$D$11)^10</x:f>
        <x:v>703709.2958422843</x:v>
      </x:c>
      <x:c r="AG132" s="55" t="n">
        <x:f>AG124*'Допущения'!$D$10*$E$9*(1-'Допущения'!$D$11)^10</x:f>
        <x:v>703709.2958422843</x:v>
      </x:c>
      <x:c r="AH132" s="55" t="n">
        <x:f>AH124*'Допущения'!$D$10*$E$9*(1-'Допущения'!$D$11)^10</x:f>
        <x:v>703709.2958422843</x:v>
      </x:c>
      <x:c r="AI132" s="55" t="n">
        <x:f>AI124*'Допущения'!$D$10*$E$9*(1-'Допущения'!$D$11)^11</x:f>
        <x:v>647412.5521749016</x:v>
      </x:c>
      <x:c r="AJ132" s="55" t="n">
        <x:f>AJ124*'Допущения'!$D$10*$E$9*(1-'Допущения'!$D$11)^11</x:f>
        <x:v>647412.5521749016</x:v>
      </x:c>
      <x:c r="AK132" s="55" t="n">
        <x:f>AK124*'Допущения'!$D$10*$E$9*(1-'Допущения'!$D$11)^11</x:f>
        <x:v>647412.5521749016</x:v>
      </x:c>
    </x:row>
    <x:row r="133">
      <x:c r="A133" s="32" t="str">
        <x:v>Себестоимость оптимизаций, ₽</x:v>
      </x:c>
      <x:c r="B133" s="55" t="n">
        <x:f>B125*'Допущения'!$D$18*$E$10</x:f>
        <x:v>177870</x:v>
      </x:c>
      <x:c r="C133" s="55" t="n">
        <x:f>C125*'Допущения'!$D$18*$E$10</x:f>
        <x:v>266805</x:v>
      </x:c>
      <x:c r="D133" s="55" t="n">
        <x:f>D125*'Допущения'!$D$18*$E$10</x:f>
        <x:v>266805</x:v>
      </x:c>
      <x:c r="E133" s="55" t="n">
        <x:f>E125*'Допущения'!$D$18*$E$10</x:f>
        <x:v>355740</x:v>
      </x:c>
      <x:c r="F133" s="55" t="n">
        <x:f>F125*'Допущения'!$D$18*$E$10</x:f>
        <x:v>355740</x:v>
      </x:c>
      <x:c r="G133" s="55" t="n">
        <x:f>G125*'Допущения'!$D$18*$E$10</x:f>
        <x:v>355740</x:v>
      </x:c>
      <x:c r="H133" s="55" t="n">
        <x:f>H125*'Допущения'!$D$18*$E$10</x:f>
        <x:v>444675.00000000006</x:v>
      </x:c>
      <x:c r="I133" s="55" t="n">
        <x:f>I125*'Допущения'!$D$18*$E$10</x:f>
        <x:v>444675.00000000006</x:v>
      </x:c>
      <x:c r="J133" s="55" t="n">
        <x:f>J125*'Допущения'!$D$18*$E$10</x:f>
        <x:v>444675.00000000006</x:v>
      </x:c>
      <x:c r="K133" s="55" t="n">
        <x:f>K125*'Допущения'!$D$18*$E$10</x:f>
        <x:v>444675.00000000006</x:v>
      </x:c>
      <x:c r="L133" s="55" t="n">
        <x:f>L125*'Допущения'!$D$18*$E$10</x:f>
        <x:v>444675.00000000006</x:v>
      </x:c>
      <x:c r="M133" s="55" t="n">
        <x:f>M125*'Допущения'!$D$18*$E$10</x:f>
        <x:v>444675.00000000006</x:v>
      </x:c>
      <x:c r="N133" s="55" t="n">
        <x:f>N125*'Допущения'!$D$18*$E$10</x:f>
        <x:v>533610</x:v>
      </x:c>
      <x:c r="O133" s="55" t="n">
        <x:f>O125*'Допущения'!$D$18*$E$10</x:f>
        <x:v>533610</x:v>
      </x:c>
      <x:c r="P133" s="55" t="n">
        <x:f>P125*'Допущения'!$D$18*$E$10</x:f>
        <x:v>533610</x:v>
      </x:c>
      <x:c r="Q133" s="55" t="n">
        <x:f>Q125*'Допущения'!$D$18*$E$10</x:f>
        <x:v>533610</x:v>
      </x:c>
      <x:c r="R133" s="55" t="n">
        <x:f>R125*'Допущения'!$D$18*$E$10</x:f>
        <x:v>533610</x:v>
      </x:c>
      <x:c r="S133" s="55" t="n">
        <x:f>S125*'Допущения'!$D$18*$E$10</x:f>
        <x:v>533610</x:v>
      </x:c>
      <x:c r="T133" s="55" t="n">
        <x:f>T125*'Допущения'!$D$18*$E$10</x:f>
        <x:v>533610</x:v>
      </x:c>
      <x:c r="U133" s="55" t="n">
        <x:f>U125*'Допущения'!$D$18*$E$10</x:f>
        <x:v>533610</x:v>
      </x:c>
      <x:c r="V133" s="55" t="n">
        <x:f>V125*'Допущения'!$D$18*$E$10</x:f>
        <x:v>533610</x:v>
      </x:c>
      <x:c r="W133" s="55" t="n">
        <x:f>W125*'Допущения'!$D$18*$E$10</x:f>
        <x:v>533610</x:v>
      </x:c>
      <x:c r="X133" s="55" t="n">
        <x:f>X125*'Допущения'!$D$18*$E$10</x:f>
        <x:v>533610</x:v>
      </x:c>
      <x:c r="Y133" s="55" t="n">
        <x:f>Y125*'Допущения'!$D$18*$E$10</x:f>
        <x:v>533610</x:v>
      </x:c>
      <x:c r="Z133" s="55" t="n">
        <x:f>Z125*'Допущения'!$D$18*$E$10</x:f>
        <x:v>889350.0000000001</x:v>
      </x:c>
      <x:c r="AA133" s="55" t="n">
        <x:f>AA125*'Допущения'!$D$18*$E$10</x:f>
        <x:v>889350.0000000001</x:v>
      </x:c>
      <x:c r="AB133" s="55" t="n">
        <x:f>AB125*'Допущения'!$D$18*$E$10</x:f>
        <x:v>889350.0000000001</x:v>
      </x:c>
      <x:c r="AC133" s="55" t="n">
        <x:f>AC125*'Допущения'!$D$18*$E$10</x:f>
        <x:v>889350.0000000001</x:v>
      </x:c>
      <x:c r="AD133" s="55" t="n">
        <x:f>AD125*'Допущения'!$D$18*$E$10</x:f>
        <x:v>889350.0000000001</x:v>
      </x:c>
      <x:c r="AE133" s="55" t="n">
        <x:f>AE125*'Допущения'!$D$18*$E$10</x:f>
        <x:v>889350.0000000001</x:v>
      </x:c>
      <x:c r="AF133" s="55" t="n">
        <x:f>AF125*'Допущения'!$D$18*$E$10</x:f>
        <x:v>889350.0000000001</x:v>
      </x:c>
      <x:c r="AG133" s="55" t="n">
        <x:f>AG125*'Допущения'!$D$18*$E$10</x:f>
        <x:v>889350.0000000001</x:v>
      </x:c>
      <x:c r="AH133" s="55" t="n">
        <x:f>AH125*'Допущения'!$D$18*$E$10</x:f>
        <x:v>889350.0000000001</x:v>
      </x:c>
      <x:c r="AI133" s="55" t="n">
        <x:f>AI125*'Допущения'!$D$18*$E$10</x:f>
        <x:v>889350.0000000001</x:v>
      </x:c>
      <x:c r="AJ133" s="55" t="n">
        <x:f>AJ125*'Допущения'!$D$18*$E$10</x:f>
        <x:v>889350.0000000001</x:v>
      </x:c>
      <x:c r="AK133" s="55" t="n">
        <x:f>AK125*'Допущения'!$D$18*$E$10</x:f>
        <x:v>889350.0000000001</x:v>
      </x:c>
    </x:row>
    <x:row r="134">
      <x:c r="A134" s="32" t="str">
        <x:v>Поддержка и переменная инфраструктура, ₽</x:v>
      </x:c>
      <x:c r="B134" s="55" t="n">
        <x:f>B128*('Допущения'!$D$19+'Допущения'!$D$21)</x:f>
        <x:v>0</x:v>
      </x:c>
      <x:c r="C134" s="55" t="n">
        <x:f>C128*('Допущения'!$D$19+'Допущения'!$D$21)</x:f>
        <x:v>0</x:v>
      </x:c>
      <x:c r="D134" s="55" t="n">
        <x:f>D128*('Допущения'!$D$19+'Допущения'!$D$21)</x:f>
        <x:v>9147.6</x:v>
      </x:c>
      <x:c r="E134" s="55" t="n">
        <x:f>E128*('Допущения'!$D$19+'Допущения'!$D$21)</x:f>
        <x:v>22594.572</x:v>
      </x:c>
      <x:c r="F134" s="55" t="n">
        <x:f>F128*('Допущения'!$D$19+'Допущения'!$D$21)</x:f>
        <x:v>35638.13484</x:v>
      </x:c>
      <x:c r="G134" s="55" t="n">
        <x:f>G128*('Допущения'!$D$19+'Допущения'!$D$21)</x:f>
        <x:v>52864.1907948</x:v>
      </x:c>
      <x:c r="H134" s="55" t="n">
        <x:f>H128*('Допущения'!$D$19+'Допущения'!$D$21)</x:f>
        <x:v>69573.465070956</x:v>
      </x:c>
      <x:c r="I134" s="55" t="n">
        <x:f>I128*('Допущения'!$D$19+'Допущения'!$D$21)</x:f>
        <x:v>85781.46111882733</x:v>
      </x:c>
      <x:c r="J134" s="55" t="n">
        <x:f>J128*('Допущения'!$D$19+'Допущения'!$D$21)</x:f>
        <x:v>106077.01728526251</x:v>
      </x:c>
      <x:c r="K134" s="55" t="n">
        <x:f>K128*('Допущения'!$D$19+'Допущения'!$D$21)</x:f>
        <x:v>125763.70676670464</x:v>
      </x:c>
      <x:c r="L134" s="55" t="n">
        <x:f>L128*('Допущения'!$D$19+'Допущения'!$D$21)</x:f>
        <x:v>144859.7955637035</x:v>
      </x:c>
      <x:c r="M134" s="55" t="n">
        <x:f>M128*('Допущения'!$D$19+'Допущения'!$D$21)</x:f>
        <x:v>163383.0016967924</x:v>
      </x:c>
      <x:c r="N134" s="55" t="n">
        <x:f>N128*('Допущения'!$D$19+'Допущения'!$D$21)</x:f>
        <x:v>181350.51164588862</x:v>
      </x:c>
      <x:c r="O134" s="55" t="n">
        <x:f>O128*('Допущения'!$D$19+'Допущения'!$D$21)</x:f>
        <x:v>198778.99629651202</x:v>
      </x:c>
      <x:c r="P134" s="55" t="n">
        <x:f>P128*('Допущения'!$D$19+'Допущения'!$D$21)</x:f>
        <x:v>220258.42640761664</x:v>
      </x:c>
      <x:c r="Q134" s="55" t="n">
        <x:f>Q128*('Допущения'!$D$19+'Допущения'!$D$21)</x:f>
        <x:v>241093.47361538815</x:v>
      </x:c>
      <x:c r="R134" s="55" t="n">
        <x:f>R128*('Допущения'!$D$19+'Допущения'!$D$21)</x:f>
        <x:v>261303.4694069265</x:v>
      </x:c>
      <x:c r="S134" s="55" t="n">
        <x:f>S128*('Допущения'!$D$19+'Допущения'!$D$21)</x:f>
        <x:v>280907.1653247187</x:v>
      </x:c>
      <x:c r="T134" s="55" t="n">
        <x:f>T128*('Допущения'!$D$19+'Допущения'!$D$21)</x:f>
        <x:v>299922.7503649771</x:v>
      </x:c>
      <x:c r="U134" s="55" t="n">
        <x:f>U128*('Допущения'!$D$19+'Допущения'!$D$21)</x:f>
        <x:v>318367.86785402783</x:v>
      </x:c>
      <x:c r="V134" s="55" t="n">
        <x:f>V128*('Допущения'!$D$19+'Допущения'!$D$21)</x:f>
        <x:v>336259.63181840704</x:v>
      </x:c>
      <x:c r="W134" s="55" t="n">
        <x:f>W128*('Допущения'!$D$19+'Допущения'!$D$21)</x:f>
        <x:v>353614.64286385477</x:v>
      </x:c>
      <x:c r="X134" s="55" t="n">
        <x:f>X128*('Допущения'!$D$19+'Допущения'!$D$21)</x:f>
        <x:v>370449.0035779391</x:v>
      </x:c>
      <x:c r="Y134" s="55" t="n">
        <x:f>Y128*('Допущения'!$D$19+'Допущения'!$D$21)</x:f>
        <x:v>386778.33347060095</x:v>
      </x:c>
      <x:c r="Z134" s="55" t="n">
        <x:f>Z128*('Допущения'!$D$19+'Допущения'!$D$21)</x:f>
        <x:v>402617.78346648294</x:v>
      </x:c>
      <x:c r="AA134" s="55" t="n">
        <x:f>AA128*('Допущения'!$D$19+'Допущения'!$D$21)</x:f>
        <x:v>417982.04996248847</x:v>
      </x:c>
      <x:c r="AB134" s="55" t="n">
        <x:f>AB128*('Допущения'!$D$19+'Допущения'!$D$21)</x:f>
        <x:v>451180.5884636138</x:v>
      </x:c>
      <x:c r="AC134" s="55" t="n">
        <x:f>AC128*('Допущения'!$D$19+'Допущения'!$D$21)</x:f>
        <x:v>483383.1708097054</x:v>
      </x:c>
      <x:c r="AD134" s="55" t="n">
        <x:f>AD128*('Допущения'!$D$19+'Допущения'!$D$21)</x:f>
        <x:v>514619.67568541423</x:v>
      </x:c>
      <x:c r="AE134" s="55" t="n">
        <x:f>AE128*('Допущения'!$D$19+'Допущения'!$D$21)</x:f>
        <x:v>544919.0854148519</x:v>
      </x:c>
      <x:c r="AF134" s="55" t="n">
        <x:f>AF128*('Допущения'!$D$19+'Допущения'!$D$21)</x:f>
        <x:v>574309.5128524064</x:v>
      </x:c>
      <x:c r="AG134" s="55" t="n">
        <x:f>AG128*('Допущения'!$D$19+'Допущения'!$D$21)</x:f>
        <x:v>602818.2274668342</x:v>
      </x:c>
      <x:c r="AH134" s="55" t="n">
        <x:f>AH128*('Допущения'!$D$19+'Допущения'!$D$21)</x:f>
        <x:v>630471.6806428292</x:v>
      </x:c>
      <x:c r="AI134" s="55" t="n">
        <x:f>AI128*('Допущения'!$D$19+'Допущения'!$D$21)</x:f>
        <x:v>657295.5302235443</x:v>
      </x:c>
      <x:c r="AJ134" s="55" t="n">
        <x:f>AJ128*('Допущения'!$D$19+'Допущения'!$D$21)</x:f>
        <x:v>683314.664316838</x:v>
      </x:c>
      <x:c r="AK134" s="55" t="n">
        <x:f>AK128*('Допущения'!$D$19+'Допущения'!$D$21)</x:f>
        <x:v>708553.2243873329</x:v>
      </x:c>
    </x:row>
    <x:row r="135">
      <x:c r="A135" s="32" t="str">
        <x:v>Валовая прибыль, ₽</x:v>
      </x:c>
      <x:c r="B135" s="55" t="n">
        <x:f>B131-B132-B133-B134</x:f>
        <x:v>-39044.99999999994</x:v>
      </x:c>
      <x:c r="C135" s="55" t="n">
        <x:f>C131-C132-C133-C134</x:f>
        <x:v>-58567.49999999988</x:v>
      </x:c>
      <x:c r="D135" s="55" t="n">
        <x:f>D131-D132-D133-D134</x:f>
        <x:v>-24518.099999999882</x:v>
      </x:c>
      <x:c r="E135" s="55" t="n">
        <x:f>E131-E132-E133-E134</x:f>
        <x:v>57852.018000000084</x:v>
      </x:c>
      <x:c r="F135" s="55" t="n">
        <x:f>F131-F132-F133-F134</x:f>
        <x:v>106403.05746000023</x:v>
      </x:c>
      <x:c r="G135" s="55" t="n">
        <x:f>G131-G132-G133-G134</x:f>
        <x:v>170522.2657362001</x:v>
      </x:c>
      <x:c r="H135" s="55" t="n">
        <x:f>H131-H132-H133-H134</x:f>
        <x:v>285771.3977641141</x:v>
      </x:c>
      <x:c r="I135" s="55" t="n">
        <x:f>I131-I132-I133-I134</x:f>
        <x:v>346101.1608311908</x:v>
      </x:c>
      <x:c r="J135" s="55" t="n">
        <x:f>J131-J132-J133-J134</x:f>
        <x:v>421645.7310062551</x:v>
      </x:c>
      <x:c r="K135" s="55" t="n">
        <x:f>K131-K132-K133-K134</x:f>
        <x:v>549770.6840760674</x:v>
      </x:c>
      <x:c r="L135" s="55" t="n">
        <x:f>L131-L132-L133-L134</x:f>
        <x:v>620850.5701537855</x:v>
      </x:c>
      <x:c r="M135" s="55" t="n">
        <x:f>M131-M132-M133-M134</x:f>
        <x:v>689798.059649172</x:v>
      </x:c>
      <x:c r="N135" s="55" t="n">
        <x:f>N131-N132-N133-N134</x:f>
        <x:v>833557.9473396966</x:v>
      </x:c>
      <x:c r="O135" s="55" t="n">
        <x:f>O131-O132-O133-O134</x:f>
        <x:v>898430.6402059058</x:v>
      </x:c>
      <x:c r="P135" s="55" t="n">
        <x:f>P131-P132-P133-P134</x:f>
        <x:v>978381.8522861288</x:v>
      </x:c>
      <x:c r="Q135" s="55" t="n">
        <x:f>Q131-Q132-Q133-Q134</x:f>
        <x:v>1111641.2445735447</x:v>
      </x:c>
      <x:c r="R135" s="55" t="n">
        <x:f>R131-R132-R133-R134</x:f>
        <x:v>1186867.340019826</x:v>
      </x:c>
      <x:c r="S135" s="55" t="n">
        <x:f>S131-S132-S133-S134</x:f>
        <x:v>1259836.6526027198</x:v>
      </x:c>
      <x:c r="T135" s="55" t="n">
        <x:f>T131-T132-T133-T134</x:f>
        <x:v>1381867.065052158</x:v>
      </x:c>
      <x:c r="U135" s="55" t="n">
        <x:f>U131-U132-U133-U134</x:f>
        <x:v>1450523.8912614023</x:v>
      </x:c>
      <x:c r="V135" s="55" t="n">
        <x:f>V131-V132-V133-V134</x:f>
        <x:v>1517121.0126843692</x:v>
      </x:c>
      <x:c r="W135" s="55" t="n">
        <x:f>W131-W132-W133-W134</x:f>
        <x:v>1628870.3853691565</x:v>
      </x:c>
      <x:c r="X135" s="55" t="n">
        <x:f>X131-X132-X133-X134</x:f>
        <x:v>1691531.6169160255</x:v>
      </x:c>
      <x:c r="Y135" s="55" t="n">
        <x:f>Y131-Y132-Y133-Y134</x:f>
        <x:v>1752313.0115164893</x:v>
      </x:c>
      <x:c r="Z135" s="55" t="n">
        <x:f>Z131-Z132-Z133-Z134</x:f>
        <x:v>2091993.2861979478</x:v>
      </x:c>
      <x:c r="AA135" s="55" t="n">
        <x:f>AA131-AA132-AA133-AA134</x:f>
        <x:v>2149182.500377524</x:v>
      </x:c>
      <x:c r="AB135" s="55" t="n">
        <x:f>AB131-AB132-AB133-AB134</x:f>
        <x:v>2272754.8381317137</x:v>
      </x:c>
      <x:c r="AC135" s="55" t="n">
        <x:f>AC131-AC132-AC133-AC134</x:f>
        <x:v>2459133.171711904</x:v>
      </x:c>
      <x:c r="AD135" s="55" t="n">
        <x:f>AD131-AD132-AD133-AD134</x:f>
        <x:v>2575402.38430482</x:v>
      </x:c>
      <x:c r="AE135" s="55" t="n">
        <x:f>AE131-AE132-AE133-AE134</x:f>
        <x:v>2688183.520519949</x:v>
      </x:c>
      <x:c r="AF135" s="55" t="n">
        <x:f>AF131-AF132-AF133-AF134</x:f>
        <x:v>2858773.3353305627</x:v>
      </x:c>
      <x:c r="AG135" s="55" t="n">
        <x:f>AG131-AG132-AG133-AG134</x:f>
        <x:v>2964889.1063953764</x:v>
      </x:c>
      <x:c r="AH135" s="55" t="n">
        <x:f>AH131-AH132-AH133-AH134</x:f>
        <x:v>3067821.4043282466</x:v>
      </x:c>
      <x:c r="AI135" s="55" t="n">
        <x:f>AI131-AI132-AI133-AI134</x:f>
        <x:v>3223962.476990514</x:v>
      </x:c>
      <x:c r="AJ135" s="55" t="n">
        <x:f>AJ131-AJ132-AJ133-AJ134</x:f>
        <x:v>3320811.4761155513</x:v>
      </x:c>
      <x:c r="AK135" s="55" t="n">
        <x:f>AK131-AK132-AK133-AK134</x:f>
        <x:v>3414755.005266838</x:v>
      </x:c>
    </x:row>
    <x:row r="136">
      <x:c r="A136" s="32" t="str">
        <x:v>Дополнительная команда роста, ₽</x:v>
      </x:c>
      <x:c r="B136" s="55" t="n">
        <x:f>IF(B128&gt;'Допущения'!$D$35,'Допущения'!$D$36,IF(B128&gt;'Допущения'!$D$33,'Допущения'!$D$34,IF(B128&gt;'Допущения'!$D$31,'Допущения'!$D$32,IF(B128&gt;'Допущения'!$D$29,'Допущения'!$D$30,0))))*$E$15</x:f>
        <x:v>0</x:v>
      </x:c>
      <x:c r="C136" s="55" t="n">
        <x:f>IF(C128&gt;'Допущения'!$D$35,'Допущения'!$D$36,IF(C128&gt;'Допущения'!$D$33,'Допущения'!$D$34,IF(C128&gt;'Допущения'!$D$31,'Допущения'!$D$32,IF(C128&gt;'Допущения'!$D$29,'Допущения'!$D$30,0))))*$E$15</x:f>
        <x:v>0</x:v>
      </x:c>
      <x:c r="D136" s="55" t="n">
        <x:f>IF(D128&gt;'Допущения'!$D$35,'Допущения'!$D$36,IF(D128&gt;'Допущения'!$D$33,'Допущения'!$D$34,IF(D128&gt;'Допущения'!$D$31,'Допущения'!$D$32,IF(D128&gt;'Допущения'!$D$29,'Допущения'!$D$30,0))))*$E$15</x:f>
        <x:v>0</x:v>
      </x:c>
      <x:c r="E136" s="55" t="n">
        <x:f>IF(E128&gt;'Допущения'!$D$35,'Допущения'!$D$36,IF(E128&gt;'Допущения'!$D$33,'Допущения'!$D$34,IF(E128&gt;'Допущения'!$D$31,'Допущения'!$D$32,IF(E128&gt;'Допущения'!$D$29,'Допущения'!$D$30,0))))*$E$15</x:f>
        <x:v>0</x:v>
      </x:c>
      <x:c r="F136" s="55" t="n">
        <x:f>IF(F128&gt;'Допущения'!$D$35,'Допущения'!$D$36,IF(F128&gt;'Допущения'!$D$33,'Допущения'!$D$34,IF(F128&gt;'Допущения'!$D$31,'Допущения'!$D$32,IF(F128&gt;'Допущения'!$D$29,'Допущения'!$D$30,0))))*$E$15</x:f>
        <x:v>0</x:v>
      </x:c>
      <x:c r="G136" s="55" t="n">
        <x:f>IF(G128&gt;'Допущения'!$D$35,'Допущения'!$D$36,IF(G128&gt;'Допущения'!$D$33,'Допущения'!$D$34,IF(G128&gt;'Допущения'!$D$31,'Допущения'!$D$32,IF(G128&gt;'Допущения'!$D$29,'Допущения'!$D$30,0))))*$E$15</x:f>
        <x:v>0</x:v>
      </x:c>
      <x:c r="H136" s="55" t="n">
        <x:f>IF(H128&gt;'Допущения'!$D$35,'Допущения'!$D$36,IF(H128&gt;'Допущения'!$D$33,'Допущения'!$D$34,IF(H128&gt;'Допущения'!$D$31,'Допущения'!$D$32,IF(H128&gt;'Допущения'!$D$29,'Допущения'!$D$30,0))))*$E$15</x:f>
        <x:v>0</x:v>
      </x:c>
      <x:c r="I136" s="55" t="n">
        <x:f>IF(I128&gt;'Допущения'!$D$35,'Допущения'!$D$36,IF(I128&gt;'Допущения'!$D$33,'Допущения'!$D$34,IF(I128&gt;'Допущения'!$D$31,'Допущения'!$D$32,IF(I128&gt;'Допущения'!$D$29,'Допущения'!$D$30,0))))*$E$15</x:f>
        <x:v>0</x:v>
      </x:c>
      <x:c r="J136" s="55" t="n">
        <x:f>IF(J128&gt;'Допущения'!$D$35,'Допущения'!$D$36,IF(J128&gt;'Допущения'!$D$33,'Допущения'!$D$34,IF(J128&gt;'Допущения'!$D$31,'Допущения'!$D$32,IF(J128&gt;'Допущения'!$D$29,'Допущения'!$D$30,0))))*$E$15</x:f>
        <x:v>0</x:v>
      </x:c>
      <x:c r="K136" s="55" t="n">
        <x:f>IF(K128&gt;'Допущения'!$D$35,'Допущения'!$D$36,IF(K128&gt;'Допущения'!$D$33,'Допущения'!$D$34,IF(K128&gt;'Допущения'!$D$31,'Допущения'!$D$32,IF(K128&gt;'Допущения'!$D$29,'Допущения'!$D$30,0))))*$E$15</x:f>
        <x:v>0</x:v>
      </x:c>
      <x:c r="L136" s="55" t="n">
        <x:f>IF(L128&gt;'Допущения'!$D$35,'Допущения'!$D$36,IF(L128&gt;'Допущения'!$D$33,'Допущения'!$D$34,IF(L128&gt;'Допущения'!$D$31,'Допущения'!$D$32,IF(L128&gt;'Допущения'!$D$29,'Допущения'!$D$30,0))))*$E$15</x:f>
        <x:v>0</x:v>
      </x:c>
      <x:c r="M136" s="55" t="n">
        <x:f>IF(M128&gt;'Допущения'!$D$35,'Допущения'!$D$36,IF(M128&gt;'Допущения'!$D$33,'Допущения'!$D$34,IF(M128&gt;'Допущения'!$D$31,'Допущения'!$D$32,IF(M128&gt;'Допущения'!$D$29,'Допущения'!$D$30,0))))*$E$15</x:f>
        <x:v>0</x:v>
      </x:c>
      <x:c r="N136" s="55" t="n">
        <x:f>IF(N128&gt;'Допущения'!$D$35,'Допущения'!$D$36,IF(N128&gt;'Допущения'!$D$33,'Допущения'!$D$34,IF(N128&gt;'Допущения'!$D$31,'Допущения'!$D$32,IF(N128&gt;'Допущения'!$D$29,'Допущения'!$D$30,0))))*$E$15</x:f>
        <x:v>0</x:v>
      </x:c>
      <x:c r="O136" s="55" t="n">
        <x:f>IF(O128&gt;'Допущения'!$D$35,'Допущения'!$D$36,IF(O128&gt;'Допущения'!$D$33,'Допущения'!$D$34,IF(O128&gt;'Допущения'!$D$31,'Допущения'!$D$32,IF(O128&gt;'Допущения'!$D$29,'Допущения'!$D$30,0))))*$E$15</x:f>
        <x:v>0</x:v>
      </x:c>
      <x:c r="P136" s="55" t="n">
        <x:f>IF(P128&gt;'Допущения'!$D$35,'Допущения'!$D$36,IF(P128&gt;'Допущения'!$D$33,'Допущения'!$D$34,IF(P128&gt;'Допущения'!$D$31,'Допущения'!$D$32,IF(P128&gt;'Допущения'!$D$29,'Допущения'!$D$30,0))))*$E$15</x:f>
        <x:v>0</x:v>
      </x:c>
      <x:c r="Q136" s="55" t="n">
        <x:f>IF(Q128&gt;'Допущения'!$D$35,'Допущения'!$D$36,IF(Q128&gt;'Допущения'!$D$33,'Допущения'!$D$34,IF(Q128&gt;'Допущения'!$D$31,'Допущения'!$D$32,IF(Q128&gt;'Допущения'!$D$29,'Допущения'!$D$30,0))))*$E$15</x:f>
        <x:v>0</x:v>
      </x:c>
      <x:c r="R136" s="55" t="n">
        <x:f>IF(R128&gt;'Допущения'!$D$35,'Допущения'!$D$36,IF(R128&gt;'Допущения'!$D$33,'Допущения'!$D$34,IF(R128&gt;'Допущения'!$D$31,'Допущения'!$D$32,IF(R128&gt;'Допущения'!$D$29,'Допущения'!$D$30,0))))*$E$15</x:f>
        <x:v>0</x:v>
      </x:c>
      <x:c r="S136" s="55" t="n">
        <x:f>IF(S128&gt;'Допущения'!$D$35,'Допущения'!$D$36,IF(S128&gt;'Допущения'!$D$33,'Допущения'!$D$34,IF(S128&gt;'Допущения'!$D$31,'Допущения'!$D$32,IF(S128&gt;'Допущения'!$D$29,'Допущения'!$D$30,0))))*$E$15</x:f>
        <x:v>0</x:v>
      </x:c>
      <x:c r="T136" s="55" t="n">
        <x:f>IF(T128&gt;'Допущения'!$D$35,'Допущения'!$D$36,IF(T128&gt;'Допущения'!$D$33,'Допущения'!$D$34,IF(T128&gt;'Допущения'!$D$31,'Допущения'!$D$32,IF(T128&gt;'Допущения'!$D$29,'Допущения'!$D$30,0))))*$E$15</x:f>
        <x:v>0</x:v>
      </x:c>
      <x:c r="U136" s="55" t="n">
        <x:f>IF(U128&gt;'Допущения'!$D$35,'Допущения'!$D$36,IF(U128&gt;'Допущения'!$D$33,'Допущения'!$D$34,IF(U128&gt;'Допущения'!$D$31,'Допущения'!$D$32,IF(U128&gt;'Допущения'!$D$29,'Допущения'!$D$30,0))))*$E$15</x:f>
        <x:v>0</x:v>
      </x:c>
      <x:c r="V136" s="55" t="n">
        <x:f>IF(V128&gt;'Допущения'!$D$35,'Допущения'!$D$36,IF(V128&gt;'Допущения'!$D$33,'Допущения'!$D$34,IF(V128&gt;'Допущения'!$D$31,'Допущения'!$D$32,IF(V128&gt;'Допущения'!$D$29,'Допущения'!$D$30,0))))*$E$15</x:f>
        <x:v>0</x:v>
      </x:c>
      <x:c r="W136" s="55" t="n">
        <x:f>IF(W128&gt;'Допущения'!$D$35,'Допущения'!$D$36,IF(W128&gt;'Допущения'!$D$33,'Допущения'!$D$34,IF(W128&gt;'Допущения'!$D$31,'Допущения'!$D$32,IF(W128&gt;'Допущения'!$D$29,'Допущения'!$D$30,0))))*$E$15</x:f>
        <x:v>0</x:v>
      </x:c>
      <x:c r="X136" s="55" t="n">
        <x:f>IF(X128&gt;'Допущения'!$D$35,'Допущения'!$D$36,IF(X128&gt;'Допущения'!$D$33,'Допущения'!$D$34,IF(X128&gt;'Допущения'!$D$31,'Допущения'!$D$32,IF(X128&gt;'Допущения'!$D$29,'Допущения'!$D$30,0))))*$E$15</x:f>
        <x:v>0</x:v>
      </x:c>
      <x:c r="Y136" s="55" t="n">
        <x:f>IF(Y128&gt;'Допущения'!$D$35,'Допущения'!$D$36,IF(Y128&gt;'Допущения'!$D$33,'Допущения'!$D$34,IF(Y128&gt;'Допущения'!$D$31,'Допущения'!$D$32,IF(Y128&gt;'Допущения'!$D$29,'Допущения'!$D$30,0))))*$E$15</x:f>
        <x:v>0</x:v>
      </x:c>
      <x:c r="Z136" s="55" t="n">
        <x:f>IF(Z128&gt;'Допущения'!$D$35,'Допущения'!$D$36,IF(Z128&gt;'Допущения'!$D$33,'Допущения'!$D$34,IF(Z128&gt;'Допущения'!$D$31,'Допущения'!$D$32,IF(Z128&gt;'Допущения'!$D$29,'Допущения'!$D$30,0))))*$E$15</x:f>
        <x:v>0</x:v>
      </x:c>
      <x:c r="AA136" s="55" t="n">
        <x:f>IF(AA128&gt;'Допущения'!$D$35,'Допущения'!$D$36,IF(AA128&gt;'Допущения'!$D$33,'Допущения'!$D$34,IF(AA128&gt;'Допущения'!$D$31,'Допущения'!$D$32,IF(AA128&gt;'Допущения'!$D$29,'Допущения'!$D$30,0))))*$E$15</x:f>
        <x:v>0</x:v>
      </x:c>
      <x:c r="AB136" s="55" t="n">
        <x:f>IF(AB128&gt;'Допущения'!$D$35,'Допущения'!$D$36,IF(AB128&gt;'Допущения'!$D$33,'Допущения'!$D$34,IF(AB128&gt;'Допущения'!$D$31,'Допущения'!$D$32,IF(AB128&gt;'Допущения'!$D$29,'Допущения'!$D$30,0))))*$E$15</x:f>
        <x:v>287500</x:v>
      </x:c>
      <x:c r="AC136" s="55" t="n">
        <x:f>IF(AC128&gt;'Допущения'!$D$35,'Допущения'!$D$36,IF(AC128&gt;'Допущения'!$D$33,'Допущения'!$D$34,IF(AC128&gt;'Допущения'!$D$31,'Допущения'!$D$32,IF(AC128&gt;'Допущения'!$D$29,'Допущения'!$D$30,0))))*$E$15</x:f>
        <x:v>287500</x:v>
      </x:c>
      <x:c r="AD136" s="55" t="n">
        <x:f>IF(AD128&gt;'Допущения'!$D$35,'Допущения'!$D$36,IF(AD128&gt;'Допущения'!$D$33,'Допущения'!$D$34,IF(AD128&gt;'Допущения'!$D$31,'Допущения'!$D$32,IF(AD128&gt;'Допущения'!$D$29,'Допущения'!$D$30,0))))*$E$15</x:f>
        <x:v>287500</x:v>
      </x:c>
      <x:c r="AE136" s="55" t="n">
        <x:f>IF(AE128&gt;'Допущения'!$D$35,'Допущения'!$D$36,IF(AE128&gt;'Допущения'!$D$33,'Допущения'!$D$34,IF(AE128&gt;'Допущения'!$D$31,'Допущения'!$D$32,IF(AE128&gt;'Допущения'!$D$29,'Допущения'!$D$30,0))))*$E$15</x:f>
        <x:v>287500</x:v>
      </x:c>
      <x:c r="AF136" s="55" t="n">
        <x:f>IF(AF128&gt;'Допущения'!$D$35,'Допущения'!$D$36,IF(AF128&gt;'Допущения'!$D$33,'Допущения'!$D$34,IF(AF128&gt;'Допущения'!$D$31,'Допущения'!$D$32,IF(AF128&gt;'Допущения'!$D$29,'Допущения'!$D$30,0))))*$E$15</x:f>
        <x:v>287500</x:v>
      </x:c>
      <x:c r="AG136" s="55" t="n">
        <x:f>IF(AG128&gt;'Допущения'!$D$35,'Допущения'!$D$36,IF(AG128&gt;'Допущения'!$D$33,'Допущения'!$D$34,IF(AG128&gt;'Допущения'!$D$31,'Допущения'!$D$32,IF(AG128&gt;'Допущения'!$D$29,'Допущения'!$D$30,0))))*$E$15</x:f>
        <x:v>287500</x:v>
      </x:c>
      <x:c r="AH136" s="55" t="n">
        <x:f>IF(AH128&gt;'Допущения'!$D$35,'Допущения'!$D$36,IF(AH128&gt;'Допущения'!$D$33,'Допущения'!$D$34,IF(AH128&gt;'Допущения'!$D$31,'Допущения'!$D$32,IF(AH128&gt;'Допущения'!$D$29,'Допущения'!$D$30,0))))*$E$15</x:f>
        <x:v>287500</x:v>
      </x:c>
      <x:c r="AI136" s="55" t="n">
        <x:f>IF(AI128&gt;'Допущения'!$D$35,'Допущения'!$D$36,IF(AI128&gt;'Допущения'!$D$33,'Допущения'!$D$34,IF(AI128&gt;'Допущения'!$D$31,'Допущения'!$D$32,IF(AI128&gt;'Допущения'!$D$29,'Допущения'!$D$30,0))))*$E$15</x:f>
        <x:v>287500</x:v>
      </x:c>
      <x:c r="AJ136" s="55" t="n">
        <x:f>IF(AJ128&gt;'Допущения'!$D$35,'Допущения'!$D$36,IF(AJ128&gt;'Допущения'!$D$33,'Допущения'!$D$34,IF(AJ128&gt;'Допущения'!$D$31,'Допущения'!$D$32,IF(AJ128&gt;'Допущения'!$D$29,'Допущения'!$D$30,0))))*$E$15</x:f>
        <x:v>287500</x:v>
      </x:c>
      <x:c r="AK136" s="55" t="n">
        <x:f>IF(AK128&gt;'Допущения'!$D$35,'Допущения'!$D$36,IF(AK128&gt;'Допущения'!$D$33,'Допущения'!$D$34,IF(AK128&gt;'Допущения'!$D$31,'Допущения'!$D$32,IF(AK128&gt;'Допущения'!$D$29,'Допущения'!$D$30,0))))*$E$15</x:f>
        <x:v>287500</x:v>
      </x:c>
    </x:row>
    <x:row r="137">
      <x:c r="A137" s="32" t="str">
        <x:v>Операционные расходы, ₽</x:v>
      </x:c>
      <x:c r="B137" s="55" t="n">
        <x:f>'Модель 36м'!B20*$E$15+B136+'Допущения'!$D$20+'Допущения'!$D$22+'Допущения'!$D$24</x:f>
        <x:v>3410000</x:v>
      </x:c>
      <x:c r="C137" s="55" t="n">
        <x:f>'Модель 36м'!C20*$E$15+C136+'Допущения'!$D$20+'Допущения'!$D$22+'Допущения'!$D$24</x:f>
        <x:v>3410000</x:v>
      </x:c>
      <x:c r="D137" s="55" t="n">
        <x:f>'Модель 36м'!D20*$E$15+D136+'Допущения'!$D$20+'Допущения'!$D$22+'Допущения'!$D$24</x:f>
        <x:v>3410000</x:v>
      </x:c>
      <x:c r="E137" s="55" t="n">
        <x:f>'Модель 36м'!E20*$E$15+E136+'Допущения'!$D$20+'Допущения'!$D$23+'Допущения'!$D$24</x:f>
        <x:v>3947499.9999999995</x:v>
      </x:c>
      <x:c r="F137" s="55" t="n">
        <x:f>'Модель 36м'!F20*$E$15+F136+'Допущения'!$D$20+'Допущения'!$D$23+'Допущения'!$D$24</x:f>
        <x:v>3947499.9999999995</x:v>
      </x:c>
      <x:c r="G137" s="55" t="n">
        <x:f>'Модель 36м'!G20*$E$15+G136+'Допущения'!$D$20+'Допущения'!$D$23+'Допущения'!$D$24</x:f>
        <x:v>3947499.9999999995</x:v>
      </x:c>
      <x:c r="H137" s="55" t="n">
        <x:f>'Модель 36м'!H20*$E$15+H136+'Допущения'!$D$20+'Допущения'!$D$23+'Допущения'!$D$24</x:f>
        <x:v>4580000</x:v>
      </x:c>
      <x:c r="I137" s="55" t="n">
        <x:f>'Модель 36м'!I20*$E$15+I136+'Допущения'!$D$20+'Допущения'!$D$23+'Допущения'!$D$24</x:f>
        <x:v>4580000</x:v>
      </x:c>
      <x:c r="J137" s="55" t="n">
        <x:f>'Модель 36м'!J20*$E$15+J136+'Допущения'!$D$20+'Допущения'!$D$23+'Допущения'!$D$24</x:f>
        <x:v>4580000</x:v>
      </x:c>
      <x:c r="K137" s="55" t="n">
        <x:f>'Модель 36м'!K20*$E$15+K136+'Допущения'!$D$20+'Допущения'!$D$23+'Допущения'!$D$24</x:f>
        <x:v>4867500</x:v>
      </x:c>
      <x:c r="L137" s="55" t="n">
        <x:f>'Модель 36м'!L20*$E$15+L136+'Допущения'!$D$20+'Допущения'!$D$23+'Допущения'!$D$24</x:f>
        <x:v>4867500</x:v>
      </x:c>
      <x:c r="M137" s="55" t="n">
        <x:f>'Модель 36м'!M20*$E$15+M136+'Допущения'!$D$20+'Допущения'!$D$23+'Допущения'!$D$24</x:f>
        <x:v>4867500</x:v>
      </x:c>
      <x:c r="N137" s="55" t="n">
        <x:f>'Модель 36м'!N20*$E$15+N136+'Допущения'!$D$20+'Допущения'!$D$23+'Допущения'!$D$24</x:f>
        <x:v>5074500</x:v>
      </x:c>
      <x:c r="O137" s="55" t="n">
        <x:f>'Модель 36м'!O20*$E$15+O136+'Допущения'!$D$20+'Допущения'!$D$23+'Допущения'!$D$24</x:f>
        <x:v>5074500</x:v>
      </x:c>
      <x:c r="P137" s="55" t="n">
        <x:f>'Модель 36м'!P20*$E$15+P136+'Допущения'!$D$20+'Допущения'!$D$23+'Допущения'!$D$24</x:f>
        <x:v>5074500</x:v>
      </x:c>
      <x:c r="Q137" s="55" t="n">
        <x:f>'Модель 36м'!Q20*$E$15+Q136+'Допущения'!$D$20+'Допущения'!$D$23+'Допущения'!$D$24</x:f>
        <x:v>5074500</x:v>
      </x:c>
      <x:c r="R137" s="55" t="n">
        <x:f>'Модель 36м'!R20*$E$15+R136+'Допущения'!$D$20+'Допущения'!$D$23+'Допущения'!$D$24</x:f>
        <x:v>5074500</x:v>
      </x:c>
      <x:c r="S137" s="55" t="n">
        <x:f>'Модель 36м'!S20*$E$15+S136+'Допущения'!$D$20+'Допущения'!$D$23+'Допущения'!$D$24</x:f>
        <x:v>5074500</x:v>
      </x:c>
      <x:c r="T137" s="55" t="n">
        <x:f>'Модель 36м'!T20*$E$15+T136+'Допущения'!$D$20+'Допущения'!$D$23+'Допущения'!$D$24</x:f>
        <x:v>5074500</x:v>
      </x:c>
      <x:c r="U137" s="55" t="n">
        <x:f>'Модель 36м'!U20*$E$15+U136+'Допущения'!$D$20+'Допущения'!$D$23+'Допущения'!$D$24</x:f>
        <x:v>5074500</x:v>
      </x:c>
      <x:c r="V137" s="55" t="n">
        <x:f>'Модель 36м'!V20*$E$15+V136+'Допущения'!$D$20+'Допущения'!$D$23+'Допущения'!$D$24</x:f>
        <x:v>5074500</x:v>
      </x:c>
      <x:c r="W137" s="55" t="n">
        <x:f>'Модель 36м'!W20*$E$15+W136+'Допущения'!$D$20+'Допущения'!$D$23+'Допущения'!$D$24</x:f>
        <x:v>5074500</x:v>
      </x:c>
      <x:c r="X137" s="55" t="n">
        <x:f>'Модель 36м'!X20*$E$15+X136+'Допущения'!$D$20+'Допущения'!$D$23+'Допущения'!$D$24</x:f>
        <x:v>5074500</x:v>
      </x:c>
      <x:c r="Y137" s="55" t="n">
        <x:f>'Модель 36м'!Y20*$E$15+Y136+'Допущения'!$D$20+'Допущения'!$D$23+'Допущения'!$D$24</x:f>
        <x:v>5074500</x:v>
      </x:c>
      <x:c r="Z137" s="55" t="n">
        <x:f>'Модель 36м'!Z20*$E$15+Z136+'Допущения'!$D$20+'Допущения'!$D$23+'Допущения'!$D$24</x:f>
        <x:v>5491950</x:v>
      </x:c>
      <x:c r="AA137" s="55" t="n">
        <x:f>'Модель 36м'!AA20*$E$15+AA136+'Допущения'!$D$20+'Допущения'!$D$23+'Допущения'!$D$24</x:f>
        <x:v>5491950</x:v>
      </x:c>
      <x:c r="AB137" s="55" t="n">
        <x:f>'Модель 36м'!AB20*$E$15+AB136+'Допущения'!$D$20+'Допущения'!$D$23+'Допущения'!$D$24</x:f>
        <x:v>5779450</x:v>
      </x:c>
      <x:c r="AC137" s="55" t="n">
        <x:f>'Модель 36м'!AC20*$E$15+AC136+'Допущения'!$D$20+'Допущения'!$D$23+'Допущения'!$D$24</x:f>
        <x:v>5779450</x:v>
      </x:c>
      <x:c r="AD137" s="55" t="n">
        <x:f>'Модель 36м'!AD20*$E$15+AD136+'Допущения'!$D$20+'Допущения'!$D$23+'Допущения'!$D$24</x:f>
        <x:v>5779450</x:v>
      </x:c>
      <x:c r="AE137" s="55" t="n">
        <x:f>'Модель 36м'!AE20*$E$15+AE136+'Допущения'!$D$20+'Допущения'!$D$23+'Допущения'!$D$24</x:f>
        <x:v>5779450</x:v>
      </x:c>
      <x:c r="AF137" s="55" t="n">
        <x:f>'Модель 36м'!AF20*$E$15+AF136+'Допущения'!$D$20+'Допущения'!$D$23+'Допущения'!$D$24</x:f>
        <x:v>5779450</x:v>
      </x:c>
      <x:c r="AG137" s="55" t="n">
        <x:f>'Модель 36м'!AG20*$E$15+AG136+'Допущения'!$D$20+'Допущения'!$D$23+'Допущения'!$D$24</x:f>
        <x:v>5779450</x:v>
      </x:c>
      <x:c r="AH137" s="55" t="n">
        <x:f>'Модель 36м'!AH20*$E$15+AH136+'Допущения'!$D$20+'Допущения'!$D$23+'Допущения'!$D$24</x:f>
        <x:v>5779450</x:v>
      </x:c>
      <x:c r="AI137" s="55" t="n">
        <x:f>'Модель 36м'!AI20*$E$15+AI136+'Допущения'!$D$20+'Допущения'!$D$23+'Допущения'!$D$24</x:f>
        <x:v>5779450</x:v>
      </x:c>
      <x:c r="AJ137" s="55" t="n">
        <x:f>'Модель 36м'!AJ20*$E$15+AJ136+'Допущения'!$D$20+'Допущения'!$D$23+'Допущения'!$D$24</x:f>
        <x:v>5779450</x:v>
      </x:c>
      <x:c r="AK137" s="55" t="n">
        <x:f>'Модель 36м'!AK20*$E$15+AK136+'Допущения'!$D$20+'Допущения'!$D$23+'Допущения'!$D$24</x:f>
        <x:v>5779450</x:v>
      </x:c>
    </x:row>
    <x:row r="138">
      <x:c r="A138" s="32" t="str">
        <x:v>EBITDA, ₽</x:v>
      </x:c>
      <x:c r="B138" s="55" t="n">
        <x:f>B135-B137</x:f>
        <x:v>-3449045</x:v>
      </x:c>
      <x:c r="C138" s="55" t="n">
        <x:f>C135-C137</x:f>
        <x:v>-3468567.5</x:v>
      </x:c>
      <x:c r="D138" s="55" t="n">
        <x:f>D135-D137</x:f>
        <x:v>-3434518.1</x:v>
      </x:c>
      <x:c r="E138" s="55" t="n">
        <x:f>E135-E137</x:f>
        <x:v>-3889647.9819999994</x:v>
      </x:c>
      <x:c r="F138" s="55" t="n">
        <x:f>F135-F137</x:f>
        <x:v>-3841096.9425399993</x:v>
      </x:c>
      <x:c r="G138" s="55" t="n">
        <x:f>G135-G137</x:f>
        <x:v>-3776977.7342637996</x:v>
      </x:c>
      <x:c r="H138" s="55" t="n">
        <x:f>H135-H137</x:f>
        <x:v>-4294228.602235886</x:v>
      </x:c>
      <x:c r="I138" s="55" t="n">
        <x:f>I135-I137</x:f>
        <x:v>-4233898.839168809</x:v>
      </x:c>
      <x:c r="J138" s="55" t="n">
        <x:f>J135-J137</x:f>
        <x:v>-4158354.268993745</x:v>
      </x:c>
      <x:c r="K138" s="55" t="n">
        <x:f>K135-K137</x:f>
        <x:v>-4317729.315923933</x:v>
      </x:c>
      <x:c r="L138" s="55" t="n">
        <x:f>L135-L137</x:f>
        <x:v>-4246649.429846214</x:v>
      </x:c>
      <x:c r="M138" s="55" t="n">
        <x:f>M135-M137</x:f>
        <x:v>-4177701.9403508278</x:v>
      </x:c>
      <x:c r="N138" s="55" t="n">
        <x:f>N135-N137</x:f>
        <x:v>-4240942.052660303</x:v>
      </x:c>
      <x:c r="O138" s="55" t="n">
        <x:f>O135-O137</x:f>
        <x:v>-4176069.359794094</x:v>
      </x:c>
      <x:c r="P138" s="55" t="n">
        <x:f>P135-P137</x:f>
        <x:v>-4096118.147713871</x:v>
      </x:c>
      <x:c r="Q138" s="55" t="n">
        <x:f>Q135-Q137</x:f>
        <x:v>-3962858.7554264553</x:v>
      </x:c>
      <x:c r="R138" s="55" t="n">
        <x:f>R135-R137</x:f>
        <x:v>-3887632.659980174</x:v>
      </x:c>
      <x:c r="S138" s="55" t="n">
        <x:f>S135-S137</x:f>
        <x:v>-3814663.34739728</x:v>
      </x:c>
      <x:c r="T138" s="55" t="n">
        <x:f>T135-T137</x:f>
        <x:v>-3692632.934947842</x:v>
      </x:c>
      <x:c r="U138" s="55" t="n">
        <x:f>U135-U137</x:f>
        <x:v>-3623976.1087385975</x:v>
      </x:c>
      <x:c r="V138" s="55" t="n">
        <x:f>V135-V137</x:f>
        <x:v>-3557378.9873156305</x:v>
      </x:c>
      <x:c r="W138" s="55" t="n">
        <x:f>W135-W137</x:f>
        <x:v>-3445629.6146308435</x:v>
      </x:c>
      <x:c r="X138" s="55" t="n">
        <x:f>X135-X137</x:f>
        <x:v>-3382968.3830839745</x:v>
      </x:c>
      <x:c r="Y138" s="55" t="n">
        <x:f>Y135-Y137</x:f>
        <x:v>-3322186.988483511</x:v>
      </x:c>
      <x:c r="Z138" s="55" t="n">
        <x:f>Z135-Z137</x:f>
        <x:v>-3399956.713802052</x:v>
      </x:c>
      <x:c r="AA138" s="55" t="n">
        <x:f>AA135-AA137</x:f>
        <x:v>-3342767.499622476</x:v>
      </x:c>
      <x:c r="AB138" s="55" t="n">
        <x:f>AB135-AB137</x:f>
        <x:v>-3506695.1618682863</x:v>
      </x:c>
      <x:c r="AC138" s="55" t="n">
        <x:f>AC135-AC137</x:f>
        <x:v>-3320316.828288096</x:v>
      </x:c>
      <x:c r="AD138" s="55" t="n">
        <x:f>AD135-AD137</x:f>
        <x:v>-3204047.61569518</x:v>
      </x:c>
      <x:c r="AE138" s="55" t="n">
        <x:f>AE135-AE137</x:f>
        <x:v>-3091266.479480051</x:v>
      </x:c>
      <x:c r="AF138" s="55" t="n">
        <x:f>AF135-AF137</x:f>
        <x:v>-2920676.6646694373</x:v>
      </x:c>
      <x:c r="AG138" s="55" t="n">
        <x:f>AG135-AG137</x:f>
        <x:v>-2814560.8936046236</x:v>
      </x:c>
      <x:c r="AH138" s="55" t="n">
        <x:f>AH135-AH137</x:f>
        <x:v>-2711628.5956717534</x:v>
      </x:c>
      <x:c r="AI138" s="55" t="n">
        <x:f>AI135-AI137</x:f>
        <x:v>-2555487.523009486</x:v>
      </x:c>
      <x:c r="AJ138" s="55" t="n">
        <x:f>AJ135-AJ137</x:f>
        <x:v>-2458638.5238844487</x:v>
      </x:c>
      <x:c r="AK138" s="55" t="n">
        <x:f>AK135-AK137</x:f>
        <x:v>-2364694.994733162</x:v>
      </x:c>
    </x:row>
    <x:row r="139">
      <x:c r="A139" s="32" t="str">
        <x:v>Условный налог, ₽</x:v>
      </x:c>
      <x:c r="B139" s="55" t="n">
        <x:f>MAX(0,B138*$E$14)</x:f>
        <x:v>0</x:v>
      </x:c>
      <x:c r="C139" s="55" t="n">
        <x:f>MAX(0,C138*$E$14)</x:f>
        <x:v>0</x:v>
      </x:c>
      <x:c r="D139" s="55" t="n">
        <x:f>MAX(0,D138*$E$14)</x:f>
        <x:v>0</x:v>
      </x:c>
      <x:c r="E139" s="55" t="n">
        <x:f>MAX(0,E138*$E$14)</x:f>
        <x:v>0</x:v>
      </x:c>
      <x:c r="F139" s="55" t="n">
        <x:f>MAX(0,F138*$E$14)</x:f>
        <x:v>0</x:v>
      </x:c>
      <x:c r="G139" s="55" t="n">
        <x:f>MAX(0,G138*$E$14)</x:f>
        <x:v>0</x:v>
      </x:c>
      <x:c r="H139" s="55" t="n">
        <x:f>MAX(0,H138*$E$14)</x:f>
        <x:v>0</x:v>
      </x:c>
      <x:c r="I139" s="55" t="n">
        <x:f>MAX(0,I138*$E$14)</x:f>
        <x:v>0</x:v>
      </x:c>
      <x:c r="J139" s="55" t="n">
        <x:f>MAX(0,J138*$E$14)</x:f>
        <x:v>0</x:v>
      </x:c>
      <x:c r="K139" s="55" t="n">
        <x:f>MAX(0,K138*$E$14)</x:f>
        <x:v>0</x:v>
      </x:c>
      <x:c r="L139" s="55" t="n">
        <x:f>MAX(0,L138*$E$14)</x:f>
        <x:v>0</x:v>
      </x:c>
      <x:c r="M139" s="55" t="n">
        <x:f>MAX(0,M138*$E$14)</x:f>
        <x:v>0</x:v>
      </x:c>
      <x:c r="N139" s="55" t="n">
        <x:f>MAX(0,N138*$E$14)</x:f>
        <x:v>0</x:v>
      </x:c>
      <x:c r="O139" s="55" t="n">
        <x:f>MAX(0,O138*$E$14)</x:f>
        <x:v>0</x:v>
      </x:c>
      <x:c r="P139" s="55" t="n">
        <x:f>MAX(0,P138*$E$14)</x:f>
        <x:v>0</x:v>
      </x:c>
      <x:c r="Q139" s="55" t="n">
        <x:f>MAX(0,Q138*$E$14)</x:f>
        <x:v>0</x:v>
      </x:c>
      <x:c r="R139" s="55" t="n">
        <x:f>MAX(0,R138*$E$14)</x:f>
        <x:v>0</x:v>
      </x:c>
      <x:c r="S139" s="55" t="n">
        <x:f>MAX(0,S138*$E$14)</x:f>
        <x:v>0</x:v>
      </x:c>
      <x:c r="T139" s="55" t="n">
        <x:f>MAX(0,T138*$E$14)</x:f>
        <x:v>0</x:v>
      </x:c>
      <x:c r="U139" s="55" t="n">
        <x:f>MAX(0,U138*$E$14)</x:f>
        <x:v>0</x:v>
      </x:c>
      <x:c r="V139" s="55" t="n">
        <x:f>MAX(0,V138*$E$14)</x:f>
        <x:v>0</x:v>
      </x:c>
      <x:c r="W139" s="55" t="n">
        <x:f>MAX(0,W138*$E$14)</x:f>
        <x:v>0</x:v>
      </x:c>
      <x:c r="X139" s="55" t="n">
        <x:f>MAX(0,X138*$E$14)</x:f>
        <x:v>0</x:v>
      </x:c>
      <x:c r="Y139" s="55" t="n">
        <x:f>MAX(0,Y138*$E$14)</x:f>
        <x:v>0</x:v>
      </x:c>
      <x:c r="Z139" s="55" t="n">
        <x:f>MAX(0,Z138*$E$14)</x:f>
        <x:v>0</x:v>
      </x:c>
      <x:c r="AA139" s="55" t="n">
        <x:f>MAX(0,AA138*$E$14)</x:f>
        <x:v>0</x:v>
      </x:c>
      <x:c r="AB139" s="55" t="n">
        <x:f>MAX(0,AB138*$E$14)</x:f>
        <x:v>0</x:v>
      </x:c>
      <x:c r="AC139" s="55" t="n">
        <x:f>MAX(0,AC138*$E$14)</x:f>
        <x:v>0</x:v>
      </x:c>
      <x:c r="AD139" s="55" t="n">
        <x:f>MAX(0,AD138*$E$14)</x:f>
        <x:v>0</x:v>
      </x:c>
      <x:c r="AE139" s="55" t="n">
        <x:f>MAX(0,AE138*$E$14)</x:f>
        <x:v>0</x:v>
      </x:c>
      <x:c r="AF139" s="55" t="n">
        <x:f>MAX(0,AF138*$E$14)</x:f>
        <x:v>0</x:v>
      </x:c>
      <x:c r="AG139" s="55" t="n">
        <x:f>MAX(0,AG138*$E$14)</x:f>
        <x:v>0</x:v>
      </x:c>
      <x:c r="AH139" s="55" t="n">
        <x:f>MAX(0,AH138*$E$14)</x:f>
        <x:v>0</x:v>
      </x:c>
      <x:c r="AI139" s="55" t="n">
        <x:f>MAX(0,AI138*$E$14)</x:f>
        <x:v>0</x:v>
      </x:c>
      <x:c r="AJ139" s="55" t="n">
        <x:f>MAX(0,AJ138*$E$14)</x:f>
        <x:v>0</x:v>
      </x:c>
      <x:c r="AK139" s="55" t="n">
        <x:f>MAX(0,AK138*$E$14)</x:f>
        <x:v>0</x:v>
      </x:c>
    </x:row>
    <x:row r="140">
      <x:c r="A140" s="32" t="str">
        <x:v>Денежные поступления, ₽</x:v>
      </x:c>
      <x:c r="B140" s="55" t="n">
        <x:f>IF($E$12=0,B131,IF($E$12=1,0,0))</x:f>
        <x:v>0</x:v>
      </x:c>
      <x:c r="C140" s="55" t="n">
        <x:f>IF($E$12=0,C131,IF($E$12=1,B131,0))</x:f>
        <x:v>0</x:v>
      </x:c>
      <x:c r="D140" s="55" t="n">
        <x:f>IF($E$12=0,D131,IF($E$12=1,C131,B131))</x:f>
        <x:v>462825.00000000006</x:v>
      </x:c>
      <x:c r="E140" s="55" t="n">
        <x:f>IF($E$12=0,E131,IF($E$12=1,D131,C131))</x:f>
        <x:v>694237.5</x:v>
      </x:c>
      <x:c r="F140" s="55" t="n">
        <x:f>IF($E$12=0,F131,IF($E$12=1,E131,D131))</x:f>
        <x:v>737434.5</x:v>
      </x:c>
      <x:c r="G140" s="55" t="n">
        <x:f>IF($E$12=0,G131,IF($E$12=1,F131,E131))</x:f>
        <x:v>1032346.5900000001</x:v>
      </x:c>
      <x:c r="H140" s="55" t="n">
        <x:f>IF($E$12=0,H131,IF($E$12=1,G131,F131))</x:f>
        <x:v>1093941.1923000002</x:v>
      </x:c>
      <x:c r="I140" s="55" t="n">
        <x:f>IF($E$12=0,I131,IF($E$12=1,H131,G131))</x:f>
        <x:v>1175286.456531</x:v>
      </x:c>
      <x:c r="J140" s="55" t="n">
        <x:f>IF($E$12=0,J131,IF($E$12=1,I131,H131))</x:f>
        <x:v>1485603.8628350701</x:v>
      </x:c>
      <x:c r="K140" s="55" t="n">
        <x:f>IF($E$12=0,K131,IF($E$12=1,J131,I131))</x:f>
        <x:v>1562141.6219500182</x:v>
      </x:c>
      <x:c r="L140" s="55" t="n">
        <x:f>IF($E$12=0,L131,IF($E$12=1,K131,J131))</x:f>
        <x:v>1657981.7482915176</x:v>
      </x:c>
      <x:c r="M140" s="55" t="n">
        <x:f>IF($E$12=0,M131,IF($E$12=1,L131,K131))</x:f>
        <x:v>1750946.6708427721</x:v>
      </x:c>
      <x:c r="N140" s="55" t="n">
        <x:f>IF($E$12=0,N131,IF($E$12=1,M131,L131))</x:f>
        <x:v>1841122.645717489</x:v>
      </x:c>
      <x:c r="O140" s="55" t="n">
        <x:f>IF($E$12=0,O131,IF($E$12=1,N131,M131))</x:f>
        <x:v>1928593.3413459645</x:v>
      </x:c>
      <x:c r="P140" s="55" t="n">
        <x:f>IF($E$12=0,P131,IF($E$12=1,O131,N131))</x:f>
        <x:v>2244852.416105585</x:v>
      </x:c>
      <x:c r="Q140" s="55" t="n">
        <x:f>IF($E$12=0,Q131,IF($E$12=1,P131,O131))</x:f>
        <x:v>2327153.5936224177</x:v>
      </x:c>
      <x:c r="R140" s="55" t="n">
        <x:f>IF($E$12=0,R131,IF($E$12=1,Q131,P131))</x:f>
        <x:v>2428584.2358137453</x:v>
      </x:c>
      <x:c r="S140" s="55" t="n">
        <x:f>IF($E$12=0,S131,IF($E$12=1,R131,Q131))</x:f>
        <x:v>2526971.958739333</x:v>
      </x:c>
      <x:c r="T140" s="55" t="n">
        <x:f>IF($E$12=0,T131,IF($E$12=1,S131,R131))</x:f>
        <x:v>2622408.0499771526</x:v>
      </x:c>
      <x:c r="U140" s="55" t="n">
        <x:f>IF($E$12=0,U131,IF($E$12=1,T131,S131))</x:f>
        <x:v>2714981.0584778385</x:v>
      </x:c>
      <x:c r="V140" s="55" t="n">
        <x:f>IF($E$12=0,V131,IF($E$12=1,U131,T131))</x:f>
        <x:v>2804776.876723503</x:v>
      </x:c>
      <x:c r="W140" s="55" t="n">
        <x:f>IF($E$12=0,W131,IF($E$12=1,V131,U131))</x:f>
        <x:v>2891878.820421798</x:v>
      </x:c>
      <x:c r="X140" s="55" t="n">
        <x:f>IF($E$12=0,X131,IF($E$12=1,W131,V131))</x:f>
        <x:v>2976367.7058091443</x:v>
      </x:c>
      <x:c r="Y140" s="55" t="n">
        <x:f>IF($E$12=0,Y131,IF($E$12=1,X131,W131))</x:f>
        <x:v>3058321.9246348697</x:v>
      </x:c>
      <x:c r="Z140" s="55" t="n">
        <x:f>IF($E$12=0,Z131,IF($E$12=1,Y131,X131))</x:f>
        <x:v>3137817.516895823</x:v>
      </x:c>
      <x:c r="AA140" s="55" t="n">
        <x:f>IF($E$12=0,AA131,IF($E$12=1,Z131,Y131))</x:f>
        <x:v>3214928.2413889486</x:v>
      </x:c>
      <x:c r="AB140" s="55" t="n">
        <x:f>IF($E$12=0,AB131,IF($E$12=1,AA131,Z131))</x:f>
        <x:v>4215375.644147281</x:v>
      </x:c>
      <x:c r="AC140" s="55" t="n">
        <x:f>IF($E$12=0,AC131,IF($E$12=1,AB131,AA131))</x:f>
        <x:v>4287929.124822862</x:v>
      </x:c>
      <x:c r="AD140" s="55" t="n">
        <x:f>IF($E$12=0,AD131,IF($E$12=1,AC131,AB131))</x:f>
        <x:v>4444700.001078177</x:v>
      </x:c>
      <x:c r="AE140" s="55" t="n">
        <x:f>IF($E$12=0,AE131,IF($E$12=1,AD131,AC131))</x:f>
        <x:v>4596767.7510458315</x:v>
      </x:c>
      <x:c r="AF140" s="55" t="n">
        <x:f>IF($E$12=0,AF131,IF($E$12=1,AE131,AD131))</x:f>
        <x:v>4744273.468514456</x:v>
      </x:c>
      <x:c r="AG140" s="55" t="n">
        <x:f>IF($E$12=0,AG131,IF($E$12=1,AF131,AE131))</x:f>
        <x:v>4887354.014459023</x:v>
      </x:c>
      <x:c r="AH140" s="55" t="n">
        <x:f>IF($E$12=0,AH131,IF($E$12=1,AG131,AF131))</x:f>
        <x:v>5026142.144025253</x:v>
      </x:c>
      <x:c r="AI140" s="55" t="n">
        <x:f>IF($E$12=0,AI131,IF($E$12=1,AH131,AG131))</x:f>
        <x:v>5160766.629704495</x:v>
      </x:c>
      <x:c r="AJ140" s="55" t="n">
        <x:f>IF($E$12=0,AJ131,IF($E$12=1,AI131,AH131))</x:f>
        <x:v>5291352.38081336</x:v>
      </x:c>
      <x:c r="AK140" s="55" t="n">
        <x:f>IF($E$12=0,AK131,IF($E$12=1,AJ131,AI131))</x:f>
        <x:v>5418020.55938896</x:v>
      </x:c>
    </x:row>
    <x:row r="141">
      <x:c r="A141" s="32" t="str">
        <x:v>Денежные выплаты, ₽</x:v>
      </x:c>
      <x:c r="B141" s="55" t="n">
        <x:f>B132+B133+B134+B137+B139</x:f>
        <x:v>3911870</x:v>
      </x:c>
      <x:c r="C141" s="55" t="n">
        <x:f>C132+C133+C134+C137+C139</x:f>
        <x:v>4162805</x:v>
      </x:c>
      <x:c r="D141" s="55" t="n">
        <x:f>D132+D133+D134+D137+D139</x:f>
        <x:v>4171952.5999999996</x:v>
      </x:c>
      <x:c r="E141" s="55" t="n">
        <x:f>E132+E133+E134+E137+E139</x:f>
        <x:v>4921994.572</x:v>
      </x:c>
      <x:c r="F141" s="55" t="n">
        <x:f>F132+F133+F134+F137+F139</x:f>
        <x:v>4935038.1348399995</x:v>
      </x:c>
      <x:c r="G141" s="55" t="n">
        <x:f>G132+G133+G134+G137+G139</x:f>
        <x:v>4952264.1907947995</x:v>
      </x:c>
      <x:c r="H141" s="55" t="n">
        <x:f>H132+H133+H134+H137+H139</x:f>
        <x:v>5779832.465070955</x:v>
      </x:c>
      <x:c r="I141" s="55" t="n">
        <x:f>I132+I133+I134+I137+I139</x:f>
        <x:v>5796040.461118828</x:v>
      </x:c>
      <x:c r="J141" s="55" t="n">
        <x:f>J132+J133+J134+J137+J139</x:f>
        <x:v>5816336.017285262</x:v>
      </x:c>
      <x:c r="K141" s="55" t="n">
        <x:f>K132+K133+K134+K137+K139</x:f>
        <x:v>6068675.986766704</x:v>
      </x:c>
      <x:c r="L141" s="55" t="n">
        <x:f>L132+L133+L134+L137+L139</x:f>
        <x:v>6087772.075563704</x:v>
      </x:c>
      <x:c r="M141" s="55" t="n">
        <x:f>M132+M133+M134+M137+M139</x:f>
        <x:v>6106295.281696793</x:v>
      </x:c>
      <x:c r="N141" s="55" t="n">
        <x:f>N132+N133+N134+N137+N139</x:f>
        <x:v>6485794.468765888</x:v>
      </x:c>
      <x:c r="O141" s="55" t="n">
        <x:f>O132+O133+O134+O137+O139</x:f>
        <x:v>6503222.953416511</x:v>
      </x:c>
      <x:c r="P141" s="55" t="n">
        <x:f>P132+P133+P134+P137+P139</x:f>
        <x:v>6524702.383527616</x:v>
      </x:c>
      <x:c r="Q141" s="55" t="n">
        <x:f>Q132+Q133+Q134+Q137+Q139</x:f>
        <x:v>6489830.714165788</x:v>
      </x:c>
      <x:c r="R141" s="55" t="n">
        <x:f>R132+R133+R134+R137+R139</x:f>
        <x:v>6510040.709957327</x:v>
      </x:c>
      <x:c r="S141" s="55" t="n">
        <x:f>S132+S133+S134+S137+S139</x:f>
        <x:v>6529644.405875118</x:v>
      </x:c>
      <x:c r="T141" s="55" t="n">
        <x:f>T132+T133+T134+T137+T139</x:f>
        <x:v>6497409.8116713455</x:v>
      </x:c>
      <x:c r="U141" s="55" t="n">
        <x:f>U132+U133+U134+U137+U139</x:f>
        <x:v>6515854.929160396</x:v>
      </x:c>
      <x:c r="V141" s="55" t="n">
        <x:f>V132+V133+V134+V137+V139</x:f>
        <x:v>6533746.693124775</x:v>
      </x:c>
      <x:c r="W141" s="55" t="n">
        <x:f>W132+W133+W134+W137+W139</x:f>
        <x:v>6503951.539265713</x:v>
      </x:c>
      <x:c r="X141" s="55" t="n">
        <x:f>X132+X133+X134+X137+X139</x:f>
        <x:v>6520785.899979798</x:v>
      </x:c>
      <x:c r="Y141" s="55" t="n">
        <x:f>Y132+Y133+Y134+Y137+Y139</x:f>
        <x:v>6537115.22987246</x:v>
      </x:c>
      <x:c r="Z141" s="55" t="n">
        <x:f>Z132+Z133+Z134+Z137+Z139</x:f>
        <x:v>7615332.357949333</x:v>
      </x:c>
      <x:c r="AA141" s="55" t="n">
        <x:f>AA132+AA133+AA134+AA137+AA139</x:f>
        <x:v>7630696.624445339</x:v>
      </x:c>
      <x:c r="AB141" s="55" t="n">
        <x:f>AB132+AB133+AB134+AB137+AB139</x:f>
        <x:v>7951395.1629464645</x:v>
      </x:c>
      <x:c r="AC141" s="55" t="n">
        <x:f>AC132+AC133+AC134+AC137+AC139</x:f>
        <x:v>7917084.5793339275</x:v>
      </x:c>
      <x:c r="AD141" s="55" t="n">
        <x:f>AD132+AD133+AD134+AD137+AD139</x:f>
        <x:v>7948321.084209636</x:v>
      </x:c>
      <x:c r="AE141" s="55" t="n">
        <x:f>AE132+AE133+AE134+AE137+AE139</x:f>
        <x:v>7978620.493939074</x:v>
      </x:c>
      <x:c r="AF141" s="55" t="n">
        <x:f>AF132+AF133+AF134+AF137+AF139</x:f>
        <x:v>7946818.8086946905</x:v>
      </x:c>
      <x:c r="AG141" s="55" t="n">
        <x:f>AG132+AG133+AG134+AG137+AG139</x:f>
        <x:v>7975327.523309119</x:v>
      </x:c>
      <x:c r="AH141" s="55" t="n">
        <x:f>AH132+AH133+AH134+AH137+AH139</x:f>
        <x:v>8002980.976485114</x:v>
      </x:c>
      <x:c r="AI141" s="55" t="n">
        <x:f>AI132+AI133+AI134+AI137+AI139</x:f>
        <x:v>7973508.082398446</x:v>
      </x:c>
      <x:c r="AJ141" s="55" t="n">
        <x:f>AJ132+AJ133+AJ134+AJ137+AJ139</x:f>
        <x:v>7999527.21649174</x:v>
      </x:c>
      <x:c r="AK141" s="55" t="n">
        <x:f>AK132+AK133+AK134+AK137+AK139</x:f>
        <x:v>8024765.776562234</x:v>
      </x:c>
    </x:row>
    <x:row r="142">
      <x:c r="A142" s="32" t="str">
        <x:v>Инвестиции / финансирование, ₽</x:v>
      </x:c>
      <x:c r="B142" s="55" t="n">
        <x:f>'Допущения'!$D$15</x:f>
        <x:v>15000000</x:v>
      </x:c>
      <x:c r="C142" s="55" t="n">
        <x:f>0</x:f>
        <x:v>0</x:v>
      </x:c>
      <x:c r="D142" s="55" t="n">
        <x:f>0</x:f>
        <x:v>0</x:v>
      </x:c>
      <x:c r="E142" s="55" t="n">
        <x:f>0</x:f>
        <x:v>0</x:v>
      </x:c>
      <x:c r="F142" s="55" t="n">
        <x:f>0</x:f>
        <x:v>0</x:v>
      </x:c>
      <x:c r="G142" s="55" t="n">
        <x:f>0</x:f>
        <x:v>0</x:v>
      </x:c>
      <x:c r="H142" s="55" t="n">
        <x:f>0</x:f>
        <x:v>0</x:v>
      </x:c>
      <x:c r="I142" s="55" t="n">
        <x:f>0</x:f>
        <x:v>0</x:v>
      </x:c>
      <x:c r="J142" s="55" t="n">
        <x:f>0</x:f>
        <x:v>0</x:v>
      </x:c>
      <x:c r="K142" s="55" t="n">
        <x:f>0</x:f>
        <x:v>0</x:v>
      </x:c>
      <x:c r="L142" s="55" t="n">
        <x:f>0</x:f>
        <x:v>0</x:v>
      </x:c>
      <x:c r="M142" s="55" t="n">
        <x:f>0</x:f>
        <x:v>0</x:v>
      </x:c>
      <x:c r="N142" s="55" t="n">
        <x:f>0</x:f>
        <x:v>0</x:v>
      </x:c>
      <x:c r="O142" s="55" t="n">
        <x:f>0</x:f>
        <x:v>0</x:v>
      </x:c>
      <x:c r="P142" s="55" t="n">
        <x:f>0</x:f>
        <x:v>0</x:v>
      </x:c>
      <x:c r="Q142" s="55" t="n">
        <x:f>0</x:f>
        <x:v>0</x:v>
      </x:c>
      <x:c r="R142" s="55" t="n">
        <x:f>0</x:f>
        <x:v>0</x:v>
      </x:c>
      <x:c r="S142" s="55" t="n">
        <x:f>0</x:f>
        <x:v>0</x:v>
      </x:c>
      <x:c r="T142" s="55" t="n">
        <x:f>0</x:f>
        <x:v>0</x:v>
      </x:c>
      <x:c r="U142" s="55" t="n">
        <x:f>0</x:f>
        <x:v>0</x:v>
      </x:c>
      <x:c r="V142" s="55" t="n">
        <x:f>0</x:f>
        <x:v>0</x:v>
      </x:c>
      <x:c r="W142" s="55" t="n">
        <x:f>0</x:f>
        <x:v>0</x:v>
      </x:c>
      <x:c r="X142" s="55" t="n">
        <x:f>0</x:f>
        <x:v>0</x:v>
      </x:c>
      <x:c r="Y142" s="55" t="n">
        <x:f>0</x:f>
        <x:v>0</x:v>
      </x:c>
      <x:c r="Z142" s="55" t="n">
        <x:f>0</x:f>
        <x:v>0</x:v>
      </x:c>
      <x:c r="AA142" s="55" t="n">
        <x:f>0</x:f>
        <x:v>0</x:v>
      </x:c>
      <x:c r="AB142" s="55" t="n">
        <x:f>0</x:f>
        <x:v>0</x:v>
      </x:c>
      <x:c r="AC142" s="55" t="n">
        <x:f>0</x:f>
        <x:v>0</x:v>
      </x:c>
      <x:c r="AD142" s="55" t="n">
        <x:f>0</x:f>
        <x:v>0</x:v>
      </x:c>
      <x:c r="AE142" s="55" t="n">
        <x:f>0</x:f>
        <x:v>0</x:v>
      </x:c>
      <x:c r="AF142" s="55" t="n">
        <x:f>0</x:f>
        <x:v>0</x:v>
      </x:c>
      <x:c r="AG142" s="55" t="n">
        <x:f>0</x:f>
        <x:v>0</x:v>
      </x:c>
      <x:c r="AH142" s="55" t="n">
        <x:f>0</x:f>
        <x:v>0</x:v>
      </x:c>
      <x:c r="AI142" s="55" t="n">
        <x:f>0</x:f>
        <x:v>0</x:v>
      </x:c>
      <x:c r="AJ142" s="55" t="n">
        <x:f>0</x:f>
        <x:v>0</x:v>
      </x:c>
      <x:c r="AK142" s="55" t="n">
        <x:f>0</x:f>
        <x:v>0</x:v>
      </x:c>
    </x:row>
    <x:row r="143">
      <x:c r="A143" s="32" t="str">
        <x:v>Денежные средства на конец месяца, ₽</x:v>
      </x:c>
      <x:c r="B143" s="55" t="n">
        <x:f>B140-B141+B142</x:f>
        <x:v>11088130</x:v>
      </x:c>
      <x:c r="C143" s="55" t="n">
        <x:f>B143+C140-C141+C142</x:f>
        <x:v>6925325</x:v>
      </x:c>
      <x:c r="D143" s="55" t="n">
        <x:f>C143+D140-D141+D142</x:f>
        <x:v>3216197.4000000004</x:v>
      </x:c>
      <x:c r="E143" s="55" t="n">
        <x:f>D143+E140-E141+E142</x:f>
        <x:v>-1011559.6719999993</x:v>
      </x:c>
      <x:c r="F143" s="55" t="n">
        <x:f>E143+F140-F141+F142</x:f>
        <x:v>-5209163.306839999</x:v>
      </x:c>
      <x:c r="G143" s="55" t="n">
        <x:f>F143+G140-G141+G142</x:f>
        <x:v>-9129080.907634798</x:v>
      </x:c>
      <x:c r="H143" s="55" t="n">
        <x:f>G143+H140-H141+H142</x:f>
        <x:v>-13814972.180405755</x:v>
      </x:c>
      <x:c r="I143" s="55" t="n">
        <x:f>H143+I140-I141+I142</x:f>
        <x:v>-18435726.184993584</x:v>
      </x:c>
      <x:c r="J143" s="55" t="n">
        <x:f>I143+J140-J141+J142</x:f>
        <x:v>-22766458.339443777</x:v>
      </x:c>
      <x:c r="K143" s="55" t="n">
        <x:f>J143+K140-K141+K142</x:f>
        <x:v>-27272992.70426046</x:v>
      </x:c>
      <x:c r="L143" s="55" t="n">
        <x:f>K143+L140-L141+L142</x:f>
        <x:v>-31702783.031532645</x:v>
      </x:c>
      <x:c r="M143" s="55" t="n">
        <x:f>L143+M140-M141+M142</x:f>
        <x:v>-36058131.64238667</x:v>
      </x:c>
      <x:c r="N143" s="55" t="n">
        <x:f>M143+N140-N141+N142</x:f>
        <x:v>-40702803.46543507</x:v>
      </x:c>
      <x:c r="O143" s="55" t="n">
        <x:f>N143+O140-O141+O142</x:f>
        <x:v>-45277433.07750562</x:v>
      </x:c>
      <x:c r="P143" s="55" t="n">
        <x:f>O143+P140-P141+P142</x:f>
        <x:v>-49557283.04492765</x:v>
      </x:c>
      <x:c r="Q143" s="55" t="n">
        <x:f>P143+Q140-Q141+Q142</x:f>
        <x:v>-53719960.16547102</x:v>
      </x:c>
      <x:c r="R143" s="55" t="n">
        <x:f>Q143+R140-R141+R142</x:f>
        <x:v>-57801416.6396146</x:v>
      </x:c>
      <x:c r="S143" s="55" t="n">
        <x:f>R143+S140-S141+S142</x:f>
        <x:v>-61804089.08675038</x:v>
      </x:c>
      <x:c r="T143" s="55" t="n">
        <x:f>S143+T140-T141+T142</x:f>
        <x:v>-65679090.84844457</x:v>
      </x:c>
      <x:c r="U143" s="55" t="n">
        <x:f>T143+U140-U141+U142</x:f>
        <x:v>-69479964.71912713</x:v>
      </x:c>
      <x:c r="V143" s="55" t="n">
        <x:f>U143+V140-V141+V142</x:f>
        <x:v>-73208934.5355284</x:v>
      </x:c>
      <x:c r="W143" s="55" t="n">
        <x:f>V143+W140-W141+W142</x:f>
        <x:v>-76821007.25437231</x:v>
      </x:c>
      <x:c r="X143" s="55" t="n">
        <x:f>W143+X140-X141+X142</x:f>
        <x:v>-80365425.44854297</x:v>
      </x:c>
      <x:c r="Y143" s="55" t="n">
        <x:f>X143+Y140-Y141+Y142</x:f>
        <x:v>-83844218.75378056</x:v>
      </x:c>
      <x:c r="Z143" s="55" t="n">
        <x:f>Y143+Z140-Z141+Z142</x:f>
        <x:v>-88321733.59483407</x:v>
      </x:c>
      <x:c r="AA143" s="55" t="n">
        <x:f>Z143+AA140-AA141+AA142</x:f>
        <x:v>-92737501.97789046</x:v>
      </x:c>
      <x:c r="AB143" s="55" t="n">
        <x:f>AA143+AB140-AB141+AB142</x:f>
        <x:v>-96473521.49668965</x:v>
      </x:c>
      <x:c r="AC143" s="55" t="n">
        <x:f>AB143+AC140-AC141+AC142</x:f>
        <x:v>-100102676.95120072</x:v>
      </x:c>
      <x:c r="AD143" s="55" t="n">
        <x:f>AC143+AD140-AD141+AD142</x:f>
        <x:v>-103606298.03433219</x:v>
      </x:c>
      <x:c r="AE143" s="55" t="n">
        <x:f>AD143+AE140-AE141+AE142</x:f>
        <x:v>-106988150.77722542</x:v>
      </x:c>
      <x:c r="AF143" s="55" t="n">
        <x:f>AE143+AF140-AF141+AF142</x:f>
        <x:v>-110190696.11740565</x:v>
      </x:c>
      <x:c r="AG143" s="55" t="n">
        <x:f>AF143+AG140-AG141+AG142</x:f>
        <x:v>-113278669.62625575</x:v>
      </x:c>
      <x:c r="AH143" s="55" t="n">
        <x:f>AG143+AH140-AH141+AH142</x:f>
        <x:v>-116255508.45871562</x:v>
      </x:c>
      <x:c r="AI143" s="55" t="n">
        <x:f>AH143+AI140-AI141+AI142</x:f>
        <x:v>-119068249.91140957</x:v>
      </x:c>
      <x:c r="AJ143" s="55" t="n">
        <x:f>AI143+AJ140-AJ141+AJ142</x:f>
        <x:v>-121776424.74708796</x:v>
      </x:c>
      <x:c r="AK143" s="55" t="n">
        <x:f>AJ143+AK140-AK141+AK142</x:f>
        <x:v>-124383169.96426122</x:v>
      </x:c>
    </x:row>
    <x:row r="144">
      <x:c r="A144" s="32" t="str">
        <x:v>Ниже резерва?</x:v>
      </x:c>
      <x:c r="B144" t="n">
        <x:f>IF(B143&lt;'Допущения'!$D$26,1,0)</x:f>
        <x:v>0</x:v>
      </x:c>
      <x:c r="C144" t="n">
        <x:f>IF(C143&lt;'Допущения'!$D$26,1,0)</x:f>
        <x:v>0</x:v>
      </x:c>
      <x:c r="D144" t="n">
        <x:f>IF(D143&lt;'Допущения'!$D$26,1,0)</x:f>
        <x:v>0</x:v>
      </x:c>
      <x:c r="E144" t="n">
        <x:f>IF(E143&lt;'Допущения'!$D$26,1,0)</x:f>
        <x:v>1</x:v>
      </x:c>
      <x:c r="F144" t="n">
        <x:f>IF(F143&lt;'Допущения'!$D$26,1,0)</x:f>
        <x:v>1</x:v>
      </x:c>
      <x:c r="G144" t="n">
        <x:f>IF(G143&lt;'Допущения'!$D$26,1,0)</x:f>
        <x:v>1</x:v>
      </x:c>
      <x:c r="H144" t="n">
        <x:f>IF(H143&lt;'Допущения'!$D$26,1,0)</x:f>
        <x:v>1</x:v>
      </x:c>
      <x:c r="I144" t="n">
        <x:f>IF(I143&lt;'Допущения'!$D$26,1,0)</x:f>
        <x:v>1</x:v>
      </x:c>
      <x:c r="J144" t="n">
        <x:f>IF(J143&lt;'Допущения'!$D$26,1,0)</x:f>
        <x:v>1</x:v>
      </x:c>
      <x:c r="K144" t="n">
        <x:f>IF(K143&lt;'Допущения'!$D$26,1,0)</x:f>
        <x:v>1</x:v>
      </x:c>
      <x:c r="L144" t="n">
        <x:f>IF(L143&lt;'Допущения'!$D$26,1,0)</x:f>
        <x:v>1</x:v>
      </x:c>
      <x:c r="M144" t="n">
        <x:f>IF(M143&lt;'Допущения'!$D$26,1,0)</x:f>
        <x:v>1</x:v>
      </x:c>
      <x:c r="N144" t="n">
        <x:f>IF(N143&lt;'Допущения'!$D$26,1,0)</x:f>
        <x:v>1</x:v>
      </x:c>
      <x:c r="O144" t="n">
        <x:f>IF(O143&lt;'Допущения'!$D$26,1,0)</x:f>
        <x:v>1</x:v>
      </x:c>
      <x:c r="P144" t="n">
        <x:f>IF(P143&lt;'Допущения'!$D$26,1,0)</x:f>
        <x:v>1</x:v>
      </x:c>
      <x:c r="Q144" t="n">
        <x:f>IF(Q143&lt;'Допущения'!$D$26,1,0)</x:f>
        <x:v>1</x:v>
      </x:c>
      <x:c r="R144" t="n">
        <x:f>IF(R143&lt;'Допущения'!$D$26,1,0)</x:f>
        <x:v>1</x:v>
      </x:c>
      <x:c r="S144" t="n">
        <x:f>IF(S143&lt;'Допущения'!$D$26,1,0)</x:f>
        <x:v>1</x:v>
      </x:c>
      <x:c r="T144" t="n">
        <x:f>IF(T143&lt;'Допущения'!$D$26,1,0)</x:f>
        <x:v>1</x:v>
      </x:c>
      <x:c r="U144" t="n">
        <x:f>IF(U143&lt;'Допущения'!$D$26,1,0)</x:f>
        <x:v>1</x:v>
      </x:c>
      <x:c r="V144" t="n">
        <x:f>IF(V143&lt;'Допущения'!$D$26,1,0)</x:f>
        <x:v>1</x:v>
      </x:c>
      <x:c r="W144" t="n">
        <x:f>IF(W143&lt;'Допущения'!$D$26,1,0)</x:f>
        <x:v>1</x:v>
      </x:c>
      <x:c r="X144" t="n">
        <x:f>IF(X143&lt;'Допущения'!$D$26,1,0)</x:f>
        <x:v>1</x:v>
      </x:c>
      <x:c r="Y144" t="n">
        <x:f>IF(Y143&lt;'Допущения'!$D$26,1,0)</x:f>
        <x:v>1</x:v>
      </x:c>
      <x:c r="Z144" t="n">
        <x:f>IF(Z143&lt;'Допущения'!$D$26,1,0)</x:f>
        <x:v>1</x:v>
      </x:c>
      <x:c r="AA144" t="n">
        <x:f>IF(AA143&lt;'Допущения'!$D$26,1,0)</x:f>
        <x:v>1</x:v>
      </x:c>
      <x:c r="AB144" t="n">
        <x:f>IF(AB143&lt;'Допущения'!$D$26,1,0)</x:f>
        <x:v>1</x:v>
      </x:c>
      <x:c r="AC144" t="n">
        <x:f>IF(AC143&lt;'Допущения'!$D$26,1,0)</x:f>
        <x:v>1</x:v>
      </x:c>
      <x:c r="AD144" t="n">
        <x:f>IF(AD143&lt;'Допущения'!$D$26,1,0)</x:f>
        <x:v>1</x:v>
      </x:c>
      <x:c r="AE144" t="n">
        <x:f>IF(AE143&lt;'Допущения'!$D$26,1,0)</x:f>
        <x:v>1</x:v>
      </x:c>
      <x:c r="AF144" t="n">
        <x:f>IF(AF143&lt;'Допущения'!$D$26,1,0)</x:f>
        <x:v>1</x:v>
      </x:c>
      <x:c r="AG144" t="n">
        <x:f>IF(AG143&lt;'Допущения'!$D$26,1,0)</x:f>
        <x:v>1</x:v>
      </x:c>
      <x:c r="AH144" t="n">
        <x:f>IF(AH143&lt;'Допущения'!$D$26,1,0)</x:f>
        <x:v>1</x:v>
      </x:c>
      <x:c r="AI144" t="n">
        <x:f>IF(AI143&lt;'Допущения'!$D$26,1,0)</x:f>
        <x:v>1</x:v>
      </x:c>
      <x:c r="AJ144" t="n">
        <x:f>IF(AJ143&lt;'Допущения'!$D$26,1,0)</x:f>
        <x:v>1</x:v>
      </x:c>
      <x:c r="AK144" t="n">
        <x:f>IF(AK143&lt;'Допущения'!$D$26,1,0)</x:f>
        <x:v>1</x:v>
      </x:c>
    </x:row>
    <x:row r="145">
      <x:c r="A145" s="32" t="str">
        <x:v>Первый месяц ниже резерва</x:v>
      </x:c>
      <x:c r="B145" t="n">
        <x:f>IF(B144=1,1,0)</x:f>
        <x:v>0</x:v>
      </x:c>
      <x:c r="C145" t="n">
        <x:f>IF(B145&gt;0,B145,IF(C144=1,2,0))</x:f>
        <x:v>0</x:v>
      </x:c>
      <x:c r="D145" t="n">
        <x:f>IF(C145&gt;0,C145,IF(D144=1,3,0))</x:f>
        <x:v>0</x:v>
      </x:c>
      <x:c r="E145" t="n">
        <x:f>IF(D145&gt;0,D145,IF(E144=1,4,0))</x:f>
        <x:v>4</x:v>
      </x:c>
      <x:c r="F145" t="n">
        <x:f>IF(E145&gt;0,E145,IF(F144=1,5,0))</x:f>
        <x:v>4</x:v>
      </x:c>
      <x:c r="G145" t="n">
        <x:f>IF(F145&gt;0,F145,IF(G144=1,6,0))</x:f>
        <x:v>4</x:v>
      </x:c>
      <x:c r="H145" t="n">
        <x:f>IF(G145&gt;0,G145,IF(H144=1,7,0))</x:f>
        <x:v>4</x:v>
      </x:c>
      <x:c r="I145" t="n">
        <x:f>IF(H145&gt;0,H145,IF(I144=1,8,0))</x:f>
        <x:v>4</x:v>
      </x:c>
      <x:c r="J145" t="n">
        <x:f>IF(I145&gt;0,I145,IF(J144=1,9,0))</x:f>
        <x:v>4</x:v>
      </x:c>
      <x:c r="K145" t="n">
        <x:f>IF(J145&gt;0,J145,IF(K144=1,10,0))</x:f>
        <x:v>4</x:v>
      </x:c>
      <x:c r="L145" t="n">
        <x:f>IF(K145&gt;0,K145,IF(L144=1,11,0))</x:f>
        <x:v>4</x:v>
      </x:c>
      <x:c r="M145" t="n">
        <x:f>IF(L145&gt;0,L145,IF(M144=1,12,0))</x:f>
        <x:v>4</x:v>
      </x:c>
      <x:c r="N145" t="n">
        <x:f>IF(M145&gt;0,M145,IF(N144=1,13,0))</x:f>
        <x:v>4</x:v>
      </x:c>
      <x:c r="O145" t="n">
        <x:f>IF(N145&gt;0,N145,IF(O144=1,14,0))</x:f>
        <x:v>4</x:v>
      </x:c>
      <x:c r="P145" t="n">
        <x:f>IF(O145&gt;0,O145,IF(P144=1,15,0))</x:f>
        <x:v>4</x:v>
      </x:c>
      <x:c r="Q145" t="n">
        <x:f>IF(P145&gt;0,P145,IF(Q144=1,16,0))</x:f>
        <x:v>4</x:v>
      </x:c>
      <x:c r="R145" t="n">
        <x:f>IF(Q145&gt;0,Q145,IF(R144=1,17,0))</x:f>
        <x:v>4</x:v>
      </x:c>
      <x:c r="S145" t="n">
        <x:f>IF(R145&gt;0,R145,IF(S144=1,18,0))</x:f>
        <x:v>4</x:v>
      </x:c>
      <x:c r="T145" t="n">
        <x:f>IF(S145&gt;0,S145,IF(T144=1,19,0))</x:f>
        <x:v>4</x:v>
      </x:c>
      <x:c r="U145" t="n">
        <x:f>IF(T145&gt;0,T145,IF(U144=1,20,0))</x:f>
        <x:v>4</x:v>
      </x:c>
      <x:c r="V145" t="n">
        <x:f>IF(U145&gt;0,U145,IF(V144=1,21,0))</x:f>
        <x:v>4</x:v>
      </x:c>
      <x:c r="W145" t="n">
        <x:f>IF(V145&gt;0,V145,IF(W144=1,22,0))</x:f>
        <x:v>4</x:v>
      </x:c>
      <x:c r="X145" t="n">
        <x:f>IF(W145&gt;0,W145,IF(X144=1,23,0))</x:f>
        <x:v>4</x:v>
      </x:c>
      <x:c r="Y145" t="n">
        <x:f>IF(X145&gt;0,X145,IF(Y144=1,24,0))</x:f>
        <x:v>4</x:v>
      </x:c>
      <x:c r="Z145" t="n">
        <x:f>IF(Y145&gt;0,Y145,IF(Z144=1,25,0))</x:f>
        <x:v>4</x:v>
      </x:c>
      <x:c r="AA145" t="n">
        <x:f>IF(Z145&gt;0,Z145,IF(AA144=1,26,0))</x:f>
        <x:v>4</x:v>
      </x:c>
      <x:c r="AB145" t="n">
        <x:f>IF(AA145&gt;0,AA145,IF(AB144=1,27,0))</x:f>
        <x:v>4</x:v>
      </x:c>
      <x:c r="AC145" t="n">
        <x:f>IF(AB145&gt;0,AB145,IF(AC144=1,28,0))</x:f>
        <x:v>4</x:v>
      </x:c>
      <x:c r="AD145" t="n">
        <x:f>IF(AC145&gt;0,AC145,IF(AD144=1,29,0))</x:f>
        <x:v>4</x:v>
      </x:c>
      <x:c r="AE145" t="n">
        <x:f>IF(AD145&gt;0,AD145,IF(AE144=1,30,0))</x:f>
        <x:v>4</x:v>
      </x:c>
      <x:c r="AF145" t="n">
        <x:f>IF(AE145&gt;0,AE145,IF(AF144=1,31,0))</x:f>
        <x:v>4</x:v>
      </x:c>
      <x:c r="AG145" t="n">
        <x:f>IF(AF145&gt;0,AF145,IF(AG144=1,32,0))</x:f>
        <x:v>4</x:v>
      </x:c>
      <x:c r="AH145" t="n">
        <x:f>IF(AG145&gt;0,AG145,IF(AH144=1,33,0))</x:f>
        <x:v>4</x:v>
      </x:c>
      <x:c r="AI145" t="n">
        <x:f>IF(AH145&gt;0,AH145,IF(AI144=1,34,0))</x:f>
        <x:v>4</x:v>
      </x:c>
      <x:c r="AJ145" t="n">
        <x:f>IF(AI145&gt;0,AI145,IF(AJ144=1,35,0))</x:f>
        <x:v>4</x:v>
      </x:c>
      <x:c r="AK145" t="n">
        <x:f>IF(AJ145&gt;0,AJ145,IF(AK144=1,36,0))</x:f>
        <x:v>4</x:v>
      </x:c>
    </x:row>
    <x:row r="146">
      <x:c r="A146" s="32" t="str">
        <x:v>Деньги &lt; 0?</x:v>
      </x:c>
      <x:c r="B146" t="n">
        <x:f>IF(B143&lt;0,1,0)</x:f>
        <x:v>0</x:v>
      </x:c>
      <x:c r="C146" t="n">
        <x:f>IF(C143&lt;0,1,0)</x:f>
        <x:v>0</x:v>
      </x:c>
      <x:c r="D146" t="n">
        <x:f>IF(D143&lt;0,1,0)</x:f>
        <x:v>0</x:v>
      </x:c>
      <x:c r="E146" t="n">
        <x:f>IF(E143&lt;0,1,0)</x:f>
        <x:v>1</x:v>
      </x:c>
      <x:c r="F146" t="n">
        <x:f>IF(F143&lt;0,1,0)</x:f>
        <x:v>1</x:v>
      </x:c>
      <x:c r="G146" t="n">
        <x:f>IF(G143&lt;0,1,0)</x:f>
        <x:v>1</x:v>
      </x:c>
      <x:c r="H146" t="n">
        <x:f>IF(H143&lt;0,1,0)</x:f>
        <x:v>1</x:v>
      </x:c>
      <x:c r="I146" t="n">
        <x:f>IF(I143&lt;0,1,0)</x:f>
        <x:v>1</x:v>
      </x:c>
      <x:c r="J146" t="n">
        <x:f>IF(J143&lt;0,1,0)</x:f>
        <x:v>1</x:v>
      </x:c>
      <x:c r="K146" t="n">
        <x:f>IF(K143&lt;0,1,0)</x:f>
        <x:v>1</x:v>
      </x:c>
      <x:c r="L146" t="n">
        <x:f>IF(L143&lt;0,1,0)</x:f>
        <x:v>1</x:v>
      </x:c>
      <x:c r="M146" t="n">
        <x:f>IF(M143&lt;0,1,0)</x:f>
        <x:v>1</x:v>
      </x:c>
      <x:c r="N146" t="n">
        <x:f>IF(N143&lt;0,1,0)</x:f>
        <x:v>1</x:v>
      </x:c>
      <x:c r="O146" t="n">
        <x:f>IF(O143&lt;0,1,0)</x:f>
        <x:v>1</x:v>
      </x:c>
      <x:c r="P146" t="n">
        <x:f>IF(P143&lt;0,1,0)</x:f>
        <x:v>1</x:v>
      </x:c>
      <x:c r="Q146" t="n">
        <x:f>IF(Q143&lt;0,1,0)</x:f>
        <x:v>1</x:v>
      </x:c>
      <x:c r="R146" t="n">
        <x:f>IF(R143&lt;0,1,0)</x:f>
        <x:v>1</x:v>
      </x:c>
      <x:c r="S146" t="n">
        <x:f>IF(S143&lt;0,1,0)</x:f>
        <x:v>1</x:v>
      </x:c>
      <x:c r="T146" t="n">
        <x:f>IF(T143&lt;0,1,0)</x:f>
        <x:v>1</x:v>
      </x:c>
      <x:c r="U146" t="n">
        <x:f>IF(U143&lt;0,1,0)</x:f>
        <x:v>1</x:v>
      </x:c>
      <x:c r="V146" t="n">
        <x:f>IF(V143&lt;0,1,0)</x:f>
        <x:v>1</x:v>
      </x:c>
      <x:c r="W146" t="n">
        <x:f>IF(W143&lt;0,1,0)</x:f>
        <x:v>1</x:v>
      </x:c>
      <x:c r="X146" t="n">
        <x:f>IF(X143&lt;0,1,0)</x:f>
        <x:v>1</x:v>
      </x:c>
      <x:c r="Y146" t="n">
        <x:f>IF(Y143&lt;0,1,0)</x:f>
        <x:v>1</x:v>
      </x:c>
      <x:c r="Z146" t="n">
        <x:f>IF(Z143&lt;0,1,0)</x:f>
        <x:v>1</x:v>
      </x:c>
      <x:c r="AA146" t="n">
        <x:f>IF(AA143&lt;0,1,0)</x:f>
        <x:v>1</x:v>
      </x:c>
      <x:c r="AB146" t="n">
        <x:f>IF(AB143&lt;0,1,0)</x:f>
        <x:v>1</x:v>
      </x:c>
      <x:c r="AC146" t="n">
        <x:f>IF(AC143&lt;0,1,0)</x:f>
        <x:v>1</x:v>
      </x:c>
      <x:c r="AD146" t="n">
        <x:f>IF(AD143&lt;0,1,0)</x:f>
        <x:v>1</x:v>
      </x:c>
      <x:c r="AE146" t="n">
        <x:f>IF(AE143&lt;0,1,0)</x:f>
        <x:v>1</x:v>
      </x:c>
      <x:c r="AF146" t="n">
        <x:f>IF(AF143&lt;0,1,0)</x:f>
        <x:v>1</x:v>
      </x:c>
      <x:c r="AG146" t="n">
        <x:f>IF(AG143&lt;0,1,0)</x:f>
        <x:v>1</x:v>
      </x:c>
      <x:c r="AH146" t="n">
        <x:f>IF(AH143&lt;0,1,0)</x:f>
        <x:v>1</x:v>
      </x:c>
      <x:c r="AI146" t="n">
        <x:f>IF(AI143&lt;0,1,0)</x:f>
        <x:v>1</x:v>
      </x:c>
      <x:c r="AJ146" t="n">
        <x:f>IF(AJ143&lt;0,1,0)</x:f>
        <x:v>1</x:v>
      </x:c>
      <x:c r="AK146" t="n">
        <x:f>IF(AK143&lt;0,1,0)</x:f>
        <x:v>1</x:v>
      </x:c>
    </x:row>
    <x:row r="147">
      <x:c r="A147" s="32" t="str">
        <x:v>Первый месяц денег &lt; 0</x:v>
      </x:c>
      <x:c r="B147" t="n">
        <x:f>IF(B146=1,1,0)</x:f>
        <x:v>0</x:v>
      </x:c>
      <x:c r="C147" t="n">
        <x:f>IF(B147&gt;0,B147,IF(C146=1,2,0))</x:f>
        <x:v>0</x:v>
      </x:c>
      <x:c r="D147" t="n">
        <x:f>IF(C147&gt;0,C147,IF(D146=1,3,0))</x:f>
        <x:v>0</x:v>
      </x:c>
      <x:c r="E147" t="n">
        <x:f>IF(D147&gt;0,D147,IF(E146=1,4,0))</x:f>
        <x:v>4</x:v>
      </x:c>
      <x:c r="F147" t="n">
        <x:f>IF(E147&gt;0,E147,IF(F146=1,5,0))</x:f>
        <x:v>4</x:v>
      </x:c>
      <x:c r="G147" t="n">
        <x:f>IF(F147&gt;0,F147,IF(G146=1,6,0))</x:f>
        <x:v>4</x:v>
      </x:c>
      <x:c r="H147" t="n">
        <x:f>IF(G147&gt;0,G147,IF(H146=1,7,0))</x:f>
        <x:v>4</x:v>
      </x:c>
      <x:c r="I147" t="n">
        <x:f>IF(H147&gt;0,H147,IF(I146=1,8,0))</x:f>
        <x:v>4</x:v>
      </x:c>
      <x:c r="J147" t="n">
        <x:f>IF(I147&gt;0,I147,IF(J146=1,9,0))</x:f>
        <x:v>4</x:v>
      </x:c>
      <x:c r="K147" t="n">
        <x:f>IF(J147&gt;0,J147,IF(K146=1,10,0))</x:f>
        <x:v>4</x:v>
      </x:c>
      <x:c r="L147" t="n">
        <x:f>IF(K147&gt;0,K147,IF(L146=1,11,0))</x:f>
        <x:v>4</x:v>
      </x:c>
      <x:c r="M147" t="n">
        <x:f>IF(L147&gt;0,L147,IF(M146=1,12,0))</x:f>
        <x:v>4</x:v>
      </x:c>
      <x:c r="N147" t="n">
        <x:f>IF(M147&gt;0,M147,IF(N146=1,13,0))</x:f>
        <x:v>4</x:v>
      </x:c>
      <x:c r="O147" t="n">
        <x:f>IF(N147&gt;0,N147,IF(O146=1,14,0))</x:f>
        <x:v>4</x:v>
      </x:c>
      <x:c r="P147" t="n">
        <x:f>IF(O147&gt;0,O147,IF(P146=1,15,0))</x:f>
        <x:v>4</x:v>
      </x:c>
      <x:c r="Q147" t="n">
        <x:f>IF(P147&gt;0,P147,IF(Q146=1,16,0))</x:f>
        <x:v>4</x:v>
      </x:c>
      <x:c r="R147" t="n">
        <x:f>IF(Q147&gt;0,Q147,IF(R146=1,17,0))</x:f>
        <x:v>4</x:v>
      </x:c>
      <x:c r="S147" t="n">
        <x:f>IF(R147&gt;0,R147,IF(S146=1,18,0))</x:f>
        <x:v>4</x:v>
      </x:c>
      <x:c r="T147" t="n">
        <x:f>IF(S147&gt;0,S147,IF(T146=1,19,0))</x:f>
        <x:v>4</x:v>
      </x:c>
      <x:c r="U147" t="n">
        <x:f>IF(T147&gt;0,T147,IF(U146=1,20,0))</x:f>
        <x:v>4</x:v>
      </x:c>
      <x:c r="V147" t="n">
        <x:f>IF(U147&gt;0,U147,IF(V146=1,21,0))</x:f>
        <x:v>4</x:v>
      </x:c>
      <x:c r="W147" t="n">
        <x:f>IF(V147&gt;0,V147,IF(W146=1,22,0))</x:f>
        <x:v>4</x:v>
      </x:c>
      <x:c r="X147" t="n">
        <x:f>IF(W147&gt;0,W147,IF(X146=1,23,0))</x:f>
        <x:v>4</x:v>
      </x:c>
      <x:c r="Y147" t="n">
        <x:f>IF(X147&gt;0,X147,IF(Y146=1,24,0))</x:f>
        <x:v>4</x:v>
      </x:c>
      <x:c r="Z147" t="n">
        <x:f>IF(Y147&gt;0,Y147,IF(Z146=1,25,0))</x:f>
        <x:v>4</x:v>
      </x:c>
      <x:c r="AA147" t="n">
        <x:f>IF(Z147&gt;0,Z147,IF(AA146=1,26,0))</x:f>
        <x:v>4</x:v>
      </x:c>
      <x:c r="AB147" t="n">
        <x:f>IF(AA147&gt;0,AA147,IF(AB146=1,27,0))</x:f>
        <x:v>4</x:v>
      </x:c>
      <x:c r="AC147" t="n">
        <x:f>IF(AB147&gt;0,AB147,IF(AC146=1,28,0))</x:f>
        <x:v>4</x:v>
      </x:c>
      <x:c r="AD147" t="n">
        <x:f>IF(AC147&gt;0,AC147,IF(AD146=1,29,0))</x:f>
        <x:v>4</x:v>
      </x:c>
      <x:c r="AE147" t="n">
        <x:f>IF(AD147&gt;0,AD147,IF(AE146=1,30,0))</x:f>
        <x:v>4</x:v>
      </x:c>
      <x:c r="AF147" t="n">
        <x:f>IF(AE147&gt;0,AE147,IF(AF146=1,31,0))</x:f>
        <x:v>4</x:v>
      </x:c>
      <x:c r="AG147" t="n">
        <x:f>IF(AF147&gt;0,AF147,IF(AG146=1,32,0))</x:f>
        <x:v>4</x:v>
      </x:c>
      <x:c r="AH147" t="n">
        <x:f>IF(AG147&gt;0,AG147,IF(AH146=1,33,0))</x:f>
        <x:v>4</x:v>
      </x:c>
      <x:c r="AI147" t="n">
        <x:f>IF(AH147&gt;0,AH147,IF(AI146=1,34,0))</x:f>
        <x:v>4</x:v>
      </x:c>
      <x:c r="AJ147" t="n">
        <x:f>IF(AI147&gt;0,AI147,IF(AJ146=1,35,0))</x:f>
        <x:v>4</x:v>
      </x:c>
      <x:c r="AK147" t="n">
        <x:f>IF(AJ147&gt;0,AJ147,IF(AK146=1,36,0))</x:f>
        <x:v>4</x:v>
      </x:c>
    </x:row>
    <x:row r="148">
      <x:c r="A148" s="32" t="str">
        <x:v>Потребность в дополнительном капитале до резерва, ₽</x:v>
      </x:c>
      <x:c r="B148" s="55" t="n">
        <x:f>MAX(0,'Допущения'!$D$26-B143)</x:f>
        <x:v>0</x:v>
      </x:c>
      <x:c r="C148" s="55" t="n">
        <x:f>MAX(0,'Допущения'!$D$26-C143)</x:f>
        <x:v>0</x:v>
      </x:c>
      <x:c r="D148" s="55" t="n">
        <x:f>MAX(0,'Допущения'!$D$26-D143)</x:f>
        <x:v>0</x:v>
      </x:c>
      <x:c r="E148" s="55" t="n">
        <x:f>MAX(0,'Допущения'!$D$26-E143)</x:f>
        <x:v>3811559.6719999993</x:v>
      </x:c>
      <x:c r="F148" s="55" t="n">
        <x:f>MAX(0,'Допущения'!$D$26-F143)</x:f>
        <x:v>8009163.306839999</x:v>
      </x:c>
      <x:c r="G148" s="55" t="n">
        <x:f>MAX(0,'Допущения'!$D$26-G143)</x:f>
        <x:v>11929080.907634798</x:v>
      </x:c>
      <x:c r="H148" s="55" t="n">
        <x:f>MAX(0,'Допущения'!$D$26-H143)</x:f>
        <x:v>16614972.180405755</x:v>
      </x:c>
      <x:c r="I148" s="55" t="n">
        <x:f>MAX(0,'Допущения'!$D$26-I143)</x:f>
        <x:v>21235726.184993584</x:v>
      </x:c>
      <x:c r="J148" s="55" t="n">
        <x:f>MAX(0,'Допущения'!$D$26-J143)</x:f>
        <x:v>25566458.339443777</x:v>
      </x:c>
      <x:c r="K148" s="55" t="n">
        <x:f>MAX(0,'Допущения'!$D$26-K143)</x:f>
        <x:v>30072992.70426046</x:v>
      </x:c>
      <x:c r="L148" s="55" t="n">
        <x:f>MAX(0,'Допущения'!$D$26-L143)</x:f>
        <x:v>34502783.031532645</x:v>
      </x:c>
      <x:c r="M148" s="55" t="n">
        <x:f>MAX(0,'Допущения'!$D$26-M143)</x:f>
        <x:v>38858131.64238667</x:v>
      </x:c>
      <x:c r="N148" s="55" t="n">
        <x:f>MAX(0,'Допущения'!$D$26-N143)</x:f>
        <x:v>43502803.46543507</x:v>
      </x:c>
      <x:c r="O148" s="55" t="n">
        <x:f>MAX(0,'Допущения'!$D$26-O143)</x:f>
        <x:v>48077433.07750562</x:v>
      </x:c>
      <x:c r="P148" s="55" t="n">
        <x:f>MAX(0,'Допущения'!$D$26-P143)</x:f>
        <x:v>52357283.04492765</x:v>
      </x:c>
      <x:c r="Q148" s="55" t="n">
        <x:f>MAX(0,'Допущения'!$D$26-Q143)</x:f>
        <x:v>56519960.16547102</x:v>
      </x:c>
      <x:c r="R148" s="55" t="n">
        <x:f>MAX(0,'Допущения'!$D$26-R143)</x:f>
        <x:v>60601416.6396146</x:v>
      </x:c>
      <x:c r="S148" s="55" t="n">
        <x:f>MAX(0,'Допущения'!$D$26-S143)</x:f>
        <x:v>64604089.08675038</x:v>
      </x:c>
      <x:c r="T148" s="55" t="n">
        <x:f>MAX(0,'Допущения'!$D$26-T143)</x:f>
        <x:v>68479090.84844458</x:v>
      </x:c>
      <x:c r="U148" s="55" t="n">
        <x:f>MAX(0,'Допущения'!$D$26-U143)</x:f>
        <x:v>72279964.71912713</x:v>
      </x:c>
      <x:c r="V148" s="55" t="n">
        <x:f>MAX(0,'Допущения'!$D$26-V143)</x:f>
        <x:v>76008934.5355284</x:v>
      </x:c>
      <x:c r="W148" s="55" t="n">
        <x:f>MAX(0,'Допущения'!$D$26-W143)</x:f>
        <x:v>79621007.25437231</x:v>
      </x:c>
      <x:c r="X148" s="55" t="n">
        <x:f>MAX(0,'Допущения'!$D$26-X143)</x:f>
        <x:v>83165425.44854297</x:v>
      </x:c>
      <x:c r="Y148" s="55" t="n">
        <x:f>MAX(0,'Допущения'!$D$26-Y143)</x:f>
        <x:v>86644218.75378056</x:v>
      </x:c>
      <x:c r="Z148" s="55" t="n">
        <x:f>MAX(0,'Допущения'!$D$26-Z143)</x:f>
        <x:v>91121733.59483407</x:v>
      </x:c>
      <x:c r="AA148" s="55" t="n">
        <x:f>MAX(0,'Допущения'!$D$26-AA143)</x:f>
        <x:v>95537501.97789046</x:v>
      </x:c>
      <x:c r="AB148" s="55" t="n">
        <x:f>MAX(0,'Допущения'!$D$26-AB143)</x:f>
        <x:v>99273521.49668965</x:v>
      </x:c>
      <x:c r="AC148" s="55" t="n">
        <x:f>MAX(0,'Допущения'!$D$26-AC143)</x:f>
        <x:v>102902676.95120072</x:v>
      </x:c>
      <x:c r="AD148" s="55" t="n">
        <x:f>MAX(0,'Допущения'!$D$26-AD143)</x:f>
        <x:v>106406298.03433219</x:v>
      </x:c>
      <x:c r="AE148" s="55" t="n">
        <x:f>MAX(0,'Допущения'!$D$26-AE143)</x:f>
        <x:v>109788150.77722542</x:v>
      </x:c>
      <x:c r="AF148" s="55" t="n">
        <x:f>MAX(0,'Допущения'!$D$26-AF143)</x:f>
        <x:v>112990696.11740565</x:v>
      </x:c>
      <x:c r="AG148" s="55" t="n">
        <x:f>MAX(0,'Допущения'!$D$26-AG143)</x:f>
        <x:v>116078669.62625575</x:v>
      </x:c>
      <x:c r="AH148" s="55" t="n">
        <x:f>MAX(0,'Допущения'!$D$26-AH143)</x:f>
        <x:v>119055508.45871562</x:v>
      </x:c>
      <x:c r="AI148" s="55" t="n">
        <x:f>MAX(0,'Допущения'!$D$26-AI143)</x:f>
        <x:v>121868249.91140957</x:v>
      </x:c>
      <x:c r="AJ148" s="55" t="n">
        <x:f>MAX(0,'Допущения'!$D$26-AJ143)</x:f>
        <x:v>124576424.74708796</x:v>
      </x:c>
      <x:c r="AK148" s="55" t="n">
        <x:f>MAX(0,'Допущения'!$D$26-AK143)</x:f>
        <x:v>127183169.96426122</x:v>
      </x:c>
    </x:row>
    <x:row r="149">
      <x:c r="A149" s="32" t="str">
        <x:v>EBITDA ≥ 0?</x:v>
      </x:c>
      <x:c r="B149" t="n">
        <x:f>IF(B138&gt;=0,1,0)</x:f>
        <x:v>0</x:v>
      </x:c>
      <x:c r="C149" t="n">
        <x:f>IF(C138&gt;=0,1,0)</x:f>
        <x:v>0</x:v>
      </x:c>
      <x:c r="D149" t="n">
        <x:f>IF(D138&gt;=0,1,0)</x:f>
        <x:v>0</x:v>
      </x:c>
      <x:c r="E149" t="n">
        <x:f>IF(E138&gt;=0,1,0)</x:f>
        <x:v>0</x:v>
      </x:c>
      <x:c r="F149" t="n">
        <x:f>IF(F138&gt;=0,1,0)</x:f>
        <x:v>0</x:v>
      </x:c>
      <x:c r="G149" t="n">
        <x:f>IF(G138&gt;=0,1,0)</x:f>
        <x:v>0</x:v>
      </x:c>
      <x:c r="H149" t="n">
        <x:f>IF(H138&gt;=0,1,0)</x:f>
        <x:v>0</x:v>
      </x:c>
      <x:c r="I149" t="n">
        <x:f>IF(I138&gt;=0,1,0)</x:f>
        <x:v>0</x:v>
      </x:c>
      <x:c r="J149" t="n">
        <x:f>IF(J138&gt;=0,1,0)</x:f>
        <x:v>0</x:v>
      </x:c>
      <x:c r="K149" t="n">
        <x:f>IF(K138&gt;=0,1,0)</x:f>
        <x:v>0</x:v>
      </x:c>
      <x:c r="L149" t="n">
        <x:f>IF(L138&gt;=0,1,0)</x:f>
        <x:v>0</x:v>
      </x:c>
      <x:c r="M149" t="n">
        <x:f>IF(M138&gt;=0,1,0)</x:f>
        <x:v>0</x:v>
      </x:c>
      <x:c r="N149" t="n">
        <x:f>IF(N138&gt;=0,1,0)</x:f>
        <x:v>0</x:v>
      </x:c>
      <x:c r="O149" t="n">
        <x:f>IF(O138&gt;=0,1,0)</x:f>
        <x:v>0</x:v>
      </x:c>
      <x:c r="P149" t="n">
        <x:f>IF(P138&gt;=0,1,0)</x:f>
        <x:v>0</x:v>
      </x:c>
      <x:c r="Q149" t="n">
        <x:f>IF(Q138&gt;=0,1,0)</x:f>
        <x:v>0</x:v>
      </x:c>
      <x:c r="R149" t="n">
        <x:f>IF(R138&gt;=0,1,0)</x:f>
        <x:v>0</x:v>
      </x:c>
      <x:c r="S149" t="n">
        <x:f>IF(S138&gt;=0,1,0)</x:f>
        <x:v>0</x:v>
      </x:c>
      <x:c r="T149" t="n">
        <x:f>IF(T138&gt;=0,1,0)</x:f>
        <x:v>0</x:v>
      </x:c>
      <x:c r="U149" t="n">
        <x:f>IF(U138&gt;=0,1,0)</x:f>
        <x:v>0</x:v>
      </x:c>
      <x:c r="V149" t="n">
        <x:f>IF(V138&gt;=0,1,0)</x:f>
        <x:v>0</x:v>
      </x:c>
      <x:c r="W149" t="n">
        <x:f>IF(W138&gt;=0,1,0)</x:f>
        <x:v>0</x:v>
      </x:c>
      <x:c r="X149" t="n">
        <x:f>IF(X138&gt;=0,1,0)</x:f>
        <x:v>0</x:v>
      </x:c>
      <x:c r="Y149" t="n">
        <x:f>IF(Y138&gt;=0,1,0)</x:f>
        <x:v>0</x:v>
      </x:c>
      <x:c r="Z149" t="n">
        <x:f>IF(Z138&gt;=0,1,0)</x:f>
        <x:v>0</x:v>
      </x:c>
      <x:c r="AA149" t="n">
        <x:f>IF(AA138&gt;=0,1,0)</x:f>
        <x:v>0</x:v>
      </x:c>
      <x:c r="AB149" t="n">
        <x:f>IF(AB138&gt;=0,1,0)</x:f>
        <x:v>0</x:v>
      </x:c>
      <x:c r="AC149" t="n">
        <x:f>IF(AC138&gt;=0,1,0)</x:f>
        <x:v>0</x:v>
      </x:c>
      <x:c r="AD149" t="n">
        <x:f>IF(AD138&gt;=0,1,0)</x:f>
        <x:v>0</x:v>
      </x:c>
      <x:c r="AE149" t="n">
        <x:f>IF(AE138&gt;=0,1,0)</x:f>
        <x:v>0</x:v>
      </x:c>
      <x:c r="AF149" t="n">
        <x:f>IF(AF138&gt;=0,1,0)</x:f>
        <x:v>0</x:v>
      </x:c>
      <x:c r="AG149" t="n">
        <x:f>IF(AG138&gt;=0,1,0)</x:f>
        <x:v>0</x:v>
      </x:c>
      <x:c r="AH149" t="n">
        <x:f>IF(AH138&gt;=0,1,0)</x:f>
        <x:v>0</x:v>
      </x:c>
      <x:c r="AI149" t="n">
        <x:f>IF(AI138&gt;=0,1,0)</x:f>
        <x:v>0</x:v>
      </x:c>
      <x:c r="AJ149" t="n">
        <x:f>IF(AJ138&gt;=0,1,0)</x:f>
        <x:v>0</x:v>
      </x:c>
      <x:c r="AK149" t="n">
        <x:f>IF(AK138&gt;=0,1,0)</x:f>
        <x:v>0</x:v>
      </x:c>
    </x:row>
    <x:row r="150">
      <x:c r="A150" s="32" t="str">
        <x:v>Первый месяц EBITDA ≥ 0</x:v>
      </x:c>
      <x:c r="B150" t="n">
        <x:f>IF(B149=1,1,0)</x:f>
        <x:v>0</x:v>
      </x:c>
      <x:c r="C150" t="n">
        <x:f>IF(B150&gt;0,B150,IF(C149=1,2,0))</x:f>
        <x:v>0</x:v>
      </x:c>
      <x:c r="D150" t="n">
        <x:f>IF(C150&gt;0,C150,IF(D149=1,3,0))</x:f>
        <x:v>0</x:v>
      </x:c>
      <x:c r="E150" t="n">
        <x:f>IF(D150&gt;0,D150,IF(E149=1,4,0))</x:f>
        <x:v>0</x:v>
      </x:c>
      <x:c r="F150" t="n">
        <x:f>IF(E150&gt;0,E150,IF(F149=1,5,0))</x:f>
        <x:v>0</x:v>
      </x:c>
      <x:c r="G150" t="n">
        <x:f>IF(F150&gt;0,F150,IF(G149=1,6,0))</x:f>
        <x:v>0</x:v>
      </x:c>
      <x:c r="H150" t="n">
        <x:f>IF(G150&gt;0,G150,IF(H149=1,7,0))</x:f>
        <x:v>0</x:v>
      </x:c>
      <x:c r="I150" t="n">
        <x:f>IF(H150&gt;0,H150,IF(I149=1,8,0))</x:f>
        <x:v>0</x:v>
      </x:c>
      <x:c r="J150" t="n">
        <x:f>IF(I150&gt;0,I150,IF(J149=1,9,0))</x:f>
        <x:v>0</x:v>
      </x:c>
      <x:c r="K150" t="n">
        <x:f>IF(J150&gt;0,J150,IF(K149=1,10,0))</x:f>
        <x:v>0</x:v>
      </x:c>
      <x:c r="L150" t="n">
        <x:f>IF(K150&gt;0,K150,IF(L149=1,11,0))</x:f>
        <x:v>0</x:v>
      </x:c>
      <x:c r="M150" t="n">
        <x:f>IF(L150&gt;0,L150,IF(M149=1,12,0))</x:f>
        <x:v>0</x:v>
      </x:c>
      <x:c r="N150" t="n">
        <x:f>IF(M150&gt;0,M150,IF(N149=1,13,0))</x:f>
        <x:v>0</x:v>
      </x:c>
      <x:c r="O150" t="n">
        <x:f>IF(N150&gt;0,N150,IF(O149=1,14,0))</x:f>
        <x:v>0</x:v>
      </x:c>
      <x:c r="P150" t="n">
        <x:f>IF(O150&gt;0,O150,IF(P149=1,15,0))</x:f>
        <x:v>0</x:v>
      </x:c>
      <x:c r="Q150" t="n">
        <x:f>IF(P150&gt;0,P150,IF(Q149=1,16,0))</x:f>
        <x:v>0</x:v>
      </x:c>
      <x:c r="R150" t="n">
        <x:f>IF(Q150&gt;0,Q150,IF(R149=1,17,0))</x:f>
        <x:v>0</x:v>
      </x:c>
      <x:c r="S150" t="n">
        <x:f>IF(R150&gt;0,R150,IF(S149=1,18,0))</x:f>
        <x:v>0</x:v>
      </x:c>
      <x:c r="T150" t="n">
        <x:f>IF(S150&gt;0,S150,IF(T149=1,19,0))</x:f>
        <x:v>0</x:v>
      </x:c>
      <x:c r="U150" t="n">
        <x:f>IF(T150&gt;0,T150,IF(U149=1,20,0))</x:f>
        <x:v>0</x:v>
      </x:c>
      <x:c r="V150" t="n">
        <x:f>IF(U150&gt;0,U150,IF(V149=1,21,0))</x:f>
        <x:v>0</x:v>
      </x:c>
      <x:c r="W150" t="n">
        <x:f>IF(V150&gt;0,V150,IF(W149=1,22,0))</x:f>
        <x:v>0</x:v>
      </x:c>
      <x:c r="X150" t="n">
        <x:f>IF(W150&gt;0,W150,IF(X149=1,23,0))</x:f>
        <x:v>0</x:v>
      </x:c>
      <x:c r="Y150" t="n">
        <x:f>IF(X150&gt;0,X150,IF(Y149=1,24,0))</x:f>
        <x:v>0</x:v>
      </x:c>
      <x:c r="Z150" t="n">
        <x:f>IF(Y150&gt;0,Y150,IF(Z149=1,25,0))</x:f>
        <x:v>0</x:v>
      </x:c>
      <x:c r="AA150" t="n">
        <x:f>IF(Z150&gt;0,Z150,IF(AA149=1,26,0))</x:f>
        <x:v>0</x:v>
      </x:c>
      <x:c r="AB150" t="n">
        <x:f>IF(AA150&gt;0,AA150,IF(AB149=1,27,0))</x:f>
        <x:v>0</x:v>
      </x:c>
      <x:c r="AC150" t="n">
        <x:f>IF(AB150&gt;0,AB150,IF(AC149=1,28,0))</x:f>
        <x:v>0</x:v>
      </x:c>
      <x:c r="AD150" t="n">
        <x:f>IF(AC150&gt;0,AC150,IF(AD149=1,29,0))</x:f>
        <x:v>0</x:v>
      </x:c>
      <x:c r="AE150" t="n">
        <x:f>IF(AD150&gt;0,AD150,IF(AE149=1,30,0))</x:f>
        <x:v>0</x:v>
      </x:c>
      <x:c r="AF150" t="n">
        <x:f>IF(AE150&gt;0,AE150,IF(AF149=1,31,0))</x:f>
        <x:v>0</x:v>
      </x:c>
      <x:c r="AG150" t="n">
        <x:f>IF(AF150&gt;0,AF150,IF(AG149=1,32,0))</x:f>
        <x:v>0</x:v>
      </x:c>
      <x:c r="AH150" t="n">
        <x:f>IF(AG150&gt;0,AG150,IF(AH149=1,33,0))</x:f>
        <x:v>0</x:v>
      </x:c>
      <x:c r="AI150" t="n">
        <x:f>IF(AH150&gt;0,AH150,IF(AI149=1,34,0))</x:f>
        <x:v>0</x:v>
      </x:c>
      <x:c r="AJ150" t="n">
        <x:f>IF(AI150&gt;0,AI150,IF(AJ149=1,35,0))</x:f>
        <x:v>0</x:v>
      </x:c>
      <x:c r="AK150" t="n">
        <x:f>IF(AJ150&gt;0,AJ150,IF(AK149=1,36,0))</x:f>
        <x:v>0</x:v>
      </x:c>
    </x:row>
  </x:sheetData>
  <x:mergeCells>
    <x:mergeCell ref="A1:AK1"/>
    <x:mergeCell ref="A3:F3"/>
    <x:mergeCell ref="H3:P3"/>
    <x:mergeCell ref="H16:P16"/>
    <x:mergeCell ref="A26:AK26"/>
    <x:mergeCell ref="A58:AK58"/>
    <x:mergeCell ref="A90:AK90"/>
    <x:mergeCell ref="A122:AK122"/>
  </x:mergeCells>
  <x:conditionalFormatting sqref="B47:AK47">
    <x:cfRule type="cellIs" dxfId="5" priority="1" operator="lessThan">
      <x:formula>0</x:formula>
    </x:cfRule>
  </x:conditionalFormatting>
  <x:conditionalFormatting sqref="B79:AK79">
    <x:cfRule type="cellIs" dxfId="6" priority="2" operator="lessThan">
      <x:formula>0</x:formula>
    </x:cfRule>
  </x:conditionalFormatting>
  <x:conditionalFormatting sqref="B111:AK111">
    <x:cfRule type="cellIs" dxfId="7" priority="3" operator="lessThan">
      <x:formula>0</x:formula>
    </x:cfRule>
  </x:conditionalFormatting>
  <x:conditionalFormatting sqref="B143:AK143">
    <x:cfRule type="cellIs" dxfId="8" priority="4" operator="lessThan">
      <x:formula>0</x:formula>
    </x:cfRule>
  </x:conditionalFormatting>
  <x:conditionalFormatting sqref="M11:M14">
    <x:cfRule type="expression" dxfId="9" priority="5">
      <x:formula>M11="НЕ ХВАТАЕТ"</x:formula>
    </x:cfRule>
    <x:cfRule type="expression" dxfId="10" priority="6">
      <x:formula>M11="ХВАТАЕТ"</x:formula>
    </x:cfRule>
  </x:conditionalFormatting>
  <x:conditionalFormatting sqref="N11:N14">
    <x:cfRule type="expression" dxfId="11" priority="7">
      <x:formula>N11="НИЖЕ РЕЗЕРВА"</x:formula>
    </x:cfRule>
    <x:cfRule type="expression" dxfId="12" priority="8">
      <x:formula>N11="ХВАТАЕТ"</x:formula>
    </x:cfRule>
  </x:conditionalFormatting>
  <x:pageMargins left="0.7" right="0.7" top="0.75" bottom="0.75" header="0.3" footer="0.3"/>
</x:worksheet>
</file>

<file path=xl/worksheets/sheet14.xml><?xml version="1.0" encoding="utf-8"?>
<x:worksheet xmlns:x="http://schemas.openxmlformats.org/spreadsheetml/2006/main">
  <x:sheetFormatPr defaultRowHeight="15"/>
  <x:cols>
    <x:col min="1" max="1" width="23" hidden="0" customWidth="1"/>
    <x:col min="2" max="2" width="38" hidden="0" customWidth="1"/>
    <x:col min="3" max="3" width="18" hidden="0" customWidth="1"/>
    <x:col min="4" max="4" width="16" hidden="0" customWidth="1"/>
    <x:col min="5" max="5" width="20" hidden="0" customWidth="1"/>
    <x:col min="6" max="6" width="16" hidden="0" customWidth="1"/>
    <x:col min="7" max="7" width="16" hidden="0" customWidth="1"/>
    <x:col min="8" max="8" width="28" hidden="0" customWidth="1"/>
    <x:col min="9" max="9" width="16" hidden="0" customWidth="1"/>
    <x:col min="10" max="10" width="42" hidden="0" customWidth="1"/>
  </x:cols>
  <x:sheetData>
    <x:row r="1">
      <x:c r="A1" s="255" t="str">
        <x:v>QORSYS — единый набор параметров для калькулятора инвестиционного сайта</x:v>
      </x:c>
      <x:c r="B1" s="255"/>
      <x:c r="C1" s="255"/>
      <x:c r="D1" s="255"/>
      <x:c r="E1" s="255"/>
      <x:c r="F1" s="255"/>
      <x:c r="G1" s="255"/>
      <x:c r="H1" s="255"/>
      <x:c r="I1" s="255"/>
      <x:c r="J1" s="255"/>
    </x:row>
    <x:row r="2">
      <x:c r="A2" s="239" t="str">
        <x:v>Контракт Excel → веб-калькулятор: сайт использует ту же экономическую логику и те же базовые параметры.</x:v>
      </x:c>
      <x:c r="B2" s="239"/>
      <x:c r="C2" s="239"/>
      <x:c r="D2" s="239"/>
      <x:c r="E2" s="239"/>
      <x:c r="F2" s="239"/>
      <x:c r="G2" s="239"/>
      <x:c r="H2" s="239"/>
      <x:c r="I2" s="239"/>
      <x:c r="J2" s="239"/>
    </x:row>
    <x:row r="3">
      <x:c r="A3" s="32"/>
      <x:c r="B3" s="32"/>
      <x:c r="C3" s="32"/>
      <x:c r="D3" s="32"/>
      <x:c r="E3" s="32"/>
      <x:c r="F3" s="32"/>
      <x:c r="G3" s="32"/>
      <x:c r="H3" s="32"/>
      <x:c r="I3" s="32"/>
      <x:c r="J3" s="32"/>
    </x:row>
    <x:row r="4" ht="26" customHeight="1">
      <x:c r="A4" s="186" t="str">
        <x:v>ID</x:v>
      </x:c>
      <x:c r="B4" s="186" t="str">
        <x:v>Параметр</x:v>
      </x:c>
      <x:c r="C4" s="186" t="str">
        <x:v>Базовое значение</x:v>
      </x:c>
      <x:c r="D4" s="186" t="str">
        <x:v>Ед.</x:v>
      </x:c>
      <x:c r="E4" s="186" t="str">
        <x:v>Элемент сайта</x:v>
      </x:c>
      <x:c r="F4" s="186" t="str">
        <x:v>Минимум</x:v>
      </x:c>
      <x:c r="G4" s="186" t="str">
        <x:v>Максимум</x:v>
      </x:c>
      <x:c r="H4" s="186" t="str">
        <x:v>Источник в Excel</x:v>
      </x:c>
      <x:c r="I4" s="186" t="str">
        <x:v>Показывать</x:v>
      </x:c>
      <x:c r="J4" s="186" t="str">
        <x:v>Комментарий</x:v>
      </x:c>
    </x:row>
    <x:row r="5">
      <x:c r="A5" s="32" t="str">
        <x:v>scenario</x:v>
      </x:c>
      <x:c r="B5" s="32" t="str">
        <x:v>Сценарий</x:v>
      </x:c>
      <x:c r="C5" s="32" t="str">
        <x:v>Базовый</x:v>
      </x:c>
      <x:c r="D5" s="32" t="str">
        <x:v>—</x:v>
      </x:c>
      <x:c r="E5" s="32" t="str">
        <x:v>Переключатель</x:v>
      </x:c>
      <x:c r="F5" s="32"/>
      <x:c r="G5" s="32"/>
      <x:c r="H5" s="32" t="str">
        <x:v>Обзор!B5</x:v>
      </x:c>
      <x:c r="I5" s="32" t="str">
        <x:v>Да</x:v>
      </x:c>
      <x:c r="J5" s="32" t="str">
        <x:v>Консервативный / Базовый / Целевой</x:v>
      </x:c>
    </x:row>
    <x:row r="6">
      <x:c r="A6" s="32" t="str">
        <x:v>core_price</x:v>
      </x:c>
      <x:c r="B6" s="32" t="str">
        <x:v>Лицензия Ядра QORSYS / мес.</x:v>
      </x:c>
      <x:c r="C6" s="242" t="n">
        <x:f>'Допущения'!K8</x:f>
        <x:v>250000</x:v>
      </x:c>
      <x:c r="D6" s="32" t="str">
        <x:v>₽</x:v>
      </x:c>
      <x:c r="E6" s="32" t="str">
        <x:v>Ползунок</x:v>
      </x:c>
      <x:c r="F6" s="245" t="n">
        <x:v>150000</x:v>
      </x:c>
      <x:c r="G6" s="245" t="n">
        <x:v>500000</x:v>
      </x:c>
      <x:c r="H6" s="32" t="str">
        <x:v>Допущения!K8</x:v>
      </x:c>
      <x:c r="I6" s="32" t="str">
        <x:v>Да</x:v>
      </x:c>
      <x:c r="J6" s="32" t="str">
        <x:v>Драйвер ARR</x:v>
      </x:c>
    </x:row>
    <x:row r="7">
      <x:c r="A7" s="32" t="str">
        <x:v>opt_fee</x:v>
      </x:c>
      <x:c r="B7" s="32" t="str">
        <x:v>Средний чек первой оптимизации</x:v>
      </x:c>
      <x:c r="C7" s="242" t="n">
        <x:f>'Допущения'!K9</x:f>
        <x:v>1500000</x:v>
      </x:c>
      <x:c r="D7" s="32" t="str">
        <x:v>₽</x:v>
      </x:c>
      <x:c r="E7" s="32" t="str">
        <x:v>Ползунок</x:v>
      </x:c>
      <x:c r="F7" s="245" t="n">
        <x:v>800000</x:v>
      </x:c>
      <x:c r="G7" s="245" t="n">
        <x:v>3000000</x:v>
      </x:c>
      <x:c r="H7" s="32" t="str">
        <x:v>Допущения!K9</x:v>
      </x:c>
      <x:c r="I7" s="32" t="str">
        <x:v>Да</x:v>
      </x:c>
      <x:c r="J7" s="32" t="str">
        <x:v>Разовая выручка</x:v>
      </x:c>
    </x:row>
    <x:row r="8">
      <x:c r="A8" s="32" t="str">
        <x:v>audit_to_opt</x:v>
      </x:c>
      <x:c r="B8" s="32" t="str">
        <x:v>Конверсия аудит → оптимизация</x:v>
      </x:c>
      <x:c r="C8" s="247" t="n">
        <x:f>'Допущения'!K5</x:f>
        <x:v>0.55</x:v>
      </x:c>
      <x:c r="D8" s="32" t="str">
        <x:v>%</x:v>
      </x:c>
      <x:c r="E8" s="32" t="str">
        <x:v>Ползунок</x:v>
      </x:c>
      <x:c r="F8" s="256" t="n">
        <x:v>0.2</x:v>
      </x:c>
      <x:c r="G8" s="256" t="n">
        <x:v>0.8</x:v>
      </x:c>
      <x:c r="H8" s="32" t="str">
        <x:v>Допущения!K5</x:v>
      </x:c>
      <x:c r="I8" s="32" t="str">
        <x:v>Да</x:v>
      </x:c>
      <x:c r="J8" s="32" t="str">
        <x:v>До появления факта — гипотеза</x:v>
      </x:c>
    </x:row>
    <x:row r="9">
      <x:c r="A9" s="32" t="str">
        <x:v>opt_to_core</x:v>
      </x:c>
      <x:c r="B9" s="32" t="str">
        <x:v>Конверсия оптимизация → Ядро QORSYS</x:v>
      </x:c>
      <x:c r="C9" s="247" t="n">
        <x:f>'Допущения'!K6</x:f>
        <x:v>0.8</x:v>
      </x:c>
      <x:c r="D9" s="32" t="str">
        <x:v>%</x:v>
      </x:c>
      <x:c r="E9" s="32" t="str">
        <x:v>Ползунок</x:v>
      </x:c>
      <x:c r="F9" s="256" t="n">
        <x:v>0.4</x:v>
      </x:c>
      <x:c r="G9" s="256" t="n">
        <x:v>0.95</x:v>
      </x:c>
      <x:c r="H9" s="32" t="str">
        <x:v>Допущения!K6</x:v>
      </x:c>
      <x:c r="I9" s="32" t="str">
        <x:v>Да</x:v>
      </x:c>
      <x:c r="J9" s="32" t="str">
        <x:v>До появления факта — гипотеза</x:v>
      </x:c>
    </x:row>
    <x:row r="10">
      <x:c r="A10" s="32" t="str">
        <x:v>monthly_churn</x:v>
      </x:c>
      <x:c r="B10" s="32" t="str">
        <x:v>Ежемесячный отток</x:v>
      </x:c>
      <x:c r="C10" s="247" t="n">
        <x:f>'Допущения'!K7</x:f>
        <x:v>0.01</x:v>
      </x:c>
      <x:c r="D10" s="32" t="str">
        <x:v>%</x:v>
      </x:c>
      <x:c r="E10" s="32" t="str">
        <x:v>Ползунок</x:v>
      </x:c>
      <x:c r="F10" s="256" t="n">
        <x:v>0</x:v>
      </x:c>
      <x:c r="G10" s="256" t="n">
        <x:v>0.05</x:v>
      </x:c>
      <x:c r="H10" s="32" t="str">
        <x:v>Допущения!K7</x:v>
      </x:c>
      <x:c r="I10" s="32" t="str">
        <x:v>Да</x:v>
      </x:c>
      <x:c r="J10" s="32" t="str">
        <x:v>Для чувствительности</x:v>
      </x:c>
    </x:row>
    <x:row r="11">
      <x:c r="A11" s="32" t="str">
        <x:v>valuation_multiple</x:v>
      </x:c>
      <x:c r="B11" s="32" t="str">
        <x:v>Мультипликатор будущей ARR</x:v>
      </x:c>
      <x:c r="C11" s="234" t="n">
        <x:f>'Оценка и инвестор'!C5</x:f>
        <x:v>3</x:v>
      </x:c>
      <x:c r="D11" s="32" t="str">
        <x:v>x</x:v>
      </x:c>
      <x:c r="E11" s="32" t="str">
        <x:v>Ползунок</x:v>
      </x:c>
      <x:c r="F11" s="257" t="n">
        <x:v>1</x:v>
      </x:c>
      <x:c r="G11" s="257" t="n">
        <x:v>6</x:v>
      </x:c>
      <x:c r="H11" s="32" t="str">
        <x:v>Оценка и инвестор!C5</x:v>
      </x:c>
      <x:c r="I11" s="32" t="str">
        <x:v>Да</x:v>
      </x:c>
      <x:c r="J11" s="32" t="str">
        <x:v>Базовый рыночный сценарий</x:v>
      </x:c>
    </x:row>
    <x:row r="12">
      <x:c r="A12" s="32" t="str">
        <x:v>seed_dilution</x:v>
      </x:c>
      <x:c r="B12" s="32" t="str">
        <x:v>Размытие следующего раунда</x:v>
      </x:c>
      <x:c r="C12" s="247" t="n">
        <x:f>'Оценка и инвестор'!I9</x:f>
        <x:v>0.194</x:v>
      </x:c>
      <x:c r="D12" s="32" t="str">
        <x:v>%</x:v>
      </x:c>
      <x:c r="E12" s="32" t="str">
        <x:v>Ползунок</x:v>
      </x:c>
      <x:c r="F12" s="256" t="n">
        <x:v>0.1</x:v>
      </x:c>
      <x:c r="G12" s="256" t="n">
        <x:v>0.3</x:v>
      </x:c>
      <x:c r="H12" s="32" t="str">
        <x:v>Оценка и инвестор!I9</x:v>
      </x:c>
      <x:c r="I12" s="32" t="str">
        <x:v>Да</x:v>
      </x:c>
      <x:c r="J12" s="32" t="str">
        <x:v>Сценарный ориентир</x:v>
      </x:c>
    </x:row>
    <x:row r="13">
      <x:c r="A13" s="32" t="str">
        <x:v>series_a_dilution</x:v>
      </x:c>
      <x:c r="B13" s="32" t="str">
        <x:v>Размытие последующего раунда</x:v>
      </x:c>
      <x:c r="C13" s="247" t="n">
        <x:f>'Оценка и инвестор'!I10</x:f>
        <x:v>0.187</x:v>
      </x:c>
      <x:c r="D13" s="32" t="str">
        <x:v>%</x:v>
      </x:c>
      <x:c r="E13" s="32" t="str">
        <x:v>Ползунок</x:v>
      </x:c>
      <x:c r="F13" s="256" t="n">
        <x:v>0.1</x:v>
      </x:c>
      <x:c r="G13" s="256" t="n">
        <x:v>0.3</x:v>
      </x:c>
      <x:c r="H13" s="32" t="str">
        <x:v>Оценка и инвестор!I10</x:v>
      </x:c>
      <x:c r="I13" s="32" t="str">
        <x:v>Да</x:v>
      </x:c>
      <x:c r="J13" s="32" t="str">
        <x:v>Сценарный ориентир</x:v>
      </x:c>
    </x:row>
    <x:row r="14">
      <x:c r="A14" s="32"/>
      <x:c r="B14" s="32"/>
      <x:c r="C14" s="32"/>
      <x:c r="D14" s="32"/>
      <x:c r="E14" s="32"/>
      <x:c r="F14" s="32"/>
      <x:c r="G14" s="32"/>
      <x:c r="H14" s="32"/>
      <x:c r="I14" s="32"/>
      <x:c r="J14" s="32"/>
    </x:row>
    <x:row r="15">
      <x:c r="A15" s="32"/>
      <x:c r="B15" s="32"/>
      <x:c r="C15" s="32"/>
      <x:c r="D15" s="32"/>
      <x:c r="E15" s="32"/>
      <x:c r="F15" s="32"/>
      <x:c r="G15" s="32"/>
      <x:c r="H15" s="32"/>
      <x:c r="I15" s="32"/>
      <x:c r="J15" s="32"/>
    </x:row>
    <x:row r="16" ht="26" customHeight="1">
      <x:c r="A16" s="186" t="str">
        <x:v>Выходы веб-калькулятора</x:v>
      </x:c>
      <x:c r="B16" s="186"/>
      <x:c r="C16" s="186"/>
      <x:c r="D16" s="186"/>
      <x:c r="E16" s="186"/>
      <x:c r="F16" s="186"/>
      <x:c r="G16" s="186"/>
      <x:c r="H16" s="186"/>
      <x:c r="I16" s="32"/>
      <x:c r="J16" s="32"/>
    </x:row>
    <x:row r="17" ht="26" customHeight="1">
      <x:c r="A17" s="186" t="str">
        <x:v>ID</x:v>
      </x:c>
      <x:c r="B17" s="186" t="str">
        <x:v>Показатель</x:v>
      </x:c>
      <x:c r="C17" s="186" t="str">
        <x:v>Текущее значение</x:v>
      </x:c>
      <x:c r="D17" s="186" t="str">
        <x:v>Ед.</x:v>
      </x:c>
      <x:c r="E17" s="186" t="str">
        <x:v>Источник в Excel</x:v>
      </x:c>
      <x:c r="F17" s="186" t="str">
        <x:v>Показывать</x:v>
      </x:c>
      <x:c r="G17" s="186" t="str">
        <x:v>Приоритет</x:v>
      </x:c>
      <x:c r="H17" s="186" t="str">
        <x:v>Комментарий</x:v>
      </x:c>
      <x:c r="I17" s="32"/>
      <x:c r="J17" s="32"/>
    </x:row>
    <x:row r="18">
      <x:c r="A18" s="32" t="str">
        <x:v>clients_m6</x:v>
      </x:c>
      <x:c r="B18" s="32" t="str">
        <x:v>Клиенты Ядра QORSYS на 6 месяц</x:v>
      </x:c>
      <x:c r="C18" s="244" t="n">
        <x:f>'Обзор'!E6</x:f>
        <x:v>6.922251168800001</x:v>
      </x:c>
      <x:c r="D18" s="32" t="str">
        <x:v>клиентов</x:v>
      </x:c>
      <x:c r="E18" s="32" t="str">
        <x:v>Обзор!E6</x:v>
      </x:c>
      <x:c r="F18" s="32" t="str">
        <x:v>Да</x:v>
      </x:c>
      <x:c r="G18" s="32" t="str">
        <x:v>Высокий</x:v>
      </x:c>
      <x:c r="H18" s="32" t="str"/>
      <x:c r="I18" s="32"/>
      <x:c r="J18" s="32"/>
    </x:row>
    <x:row r="19">
      <x:c r="A19" s="32" t="str">
        <x:v>arr_m6</x:v>
      </x:c>
      <x:c r="B19" s="32" t="str">
        <x:v>ARR на 6 месяц</x:v>
      </x:c>
      <x:c r="C19" s="242" t="n">
        <x:f>'Обзор'!E7</x:f>
        <x:v>20766753.506400004</x:v>
      </x:c>
      <x:c r="D19" s="32" t="str">
        <x:v>₽</x:v>
      </x:c>
      <x:c r="E19" s="32" t="str">
        <x:v>Обзор!E7</x:v>
      </x:c>
      <x:c r="F19" s="32" t="str">
        <x:v>Да</x:v>
      </x:c>
      <x:c r="G19" s="32" t="str">
        <x:v>Высокий</x:v>
      </x:c>
      <x:c r="H19" s="32" t="str"/>
      <x:c r="I19" s="32"/>
      <x:c r="J19" s="32"/>
    </x:row>
    <x:row r="20">
      <x:c r="A20" s="32" t="str">
        <x:v>revenue_y1</x:v>
      </x:c>
      <x:c r="B20" s="32" t="str">
        <x:v>Выручка за год 1</x:v>
      </x:c>
      <x:c r="C20" s="242" t="n">
        <x:f>'Обзор'!E10</x:f>
        <x:v>66665934.03317751</x:v>
      </x:c>
      <x:c r="D20" s="32" t="str">
        <x:v>₽</x:v>
      </x:c>
      <x:c r="E20" s="32" t="str">
        <x:v>Обзор!E10</x:v>
      </x:c>
      <x:c r="F20" s="32" t="str">
        <x:v>Да</x:v>
      </x:c>
      <x:c r="G20" s="32" t="str">
        <x:v>Высокий</x:v>
      </x:c>
      <x:c r="H20" s="32" t="str"/>
      <x:c r="I20" s="32"/>
      <x:c r="J20" s="32"/>
    </x:row>
    <x:row r="21">
      <x:c r="A21" s="32" t="str">
        <x:v>ebitda_y1</x:v>
      </x:c>
      <x:c r="B21" s="32" t="str">
        <x:v>EBITDA за год 1</x:v>
      </x:c>
      <x:c r="C21" s="242" t="n">
        <x:f>'Обзор'!E11</x:f>
        <x:v>-10555497.69279445</x:v>
      </x:c>
      <x:c r="D21" s="32" t="str">
        <x:v>₽</x:v>
      </x:c>
      <x:c r="E21" s="32" t="str">
        <x:v>Обзор!E11</x:v>
      </x:c>
      <x:c r="F21" s="32" t="str">
        <x:v>Да</x:v>
      </x:c>
      <x:c r="G21" s="32" t="str">
        <x:v>Высокий</x:v>
      </x:c>
      <x:c r="H21" s="32" t="str"/>
      <x:c r="I21" s="32"/>
      <x:c r="J21" s="32"/>
    </x:row>
    <x:row r="22">
      <x:c r="A22" s="32" t="str">
        <x:v>cac</x:v>
      </x:c>
      <x:c r="B22" s="32" t="str">
        <x:v>Полная стоимость привлечения</x:v>
      </x:c>
      <x:c r="C22" s="242" t="n">
        <x:f>'Обзор'!H6</x:f>
        <x:v>690148.3636363634</x:v>
      </x:c>
      <x:c r="D22" s="32" t="str">
        <x:v>₽</x:v>
      </x:c>
      <x:c r="E22" s="32" t="str">
        <x:v>Обзор!H6</x:v>
      </x:c>
      <x:c r="F22" s="32" t="str">
        <x:v>Да</x:v>
      </x:c>
      <x:c r="G22" s="32" t="str">
        <x:v>Средний</x:v>
      </x:c>
      <x:c r="H22" s="32" t="str"/>
      <x:c r="I22" s="32"/>
      <x:c r="J22" s="32"/>
    </x:row>
    <x:row r="23">
      <x:c r="A23" s="32" t="str">
        <x:v>payback</x:v>
      </x:c>
      <x:c r="B23" s="32" t="str">
        <x:v>Окупаемость CAC</x:v>
      </x:c>
      <x:c r="C23" s="258" t="n">
        <x:f>'Обзор'!H8</x:f>
        <x:v>3.3665773835920167</x:v>
      </x:c>
      <x:c r="D23" s="32" t="str">
        <x:v>мес.</x:v>
      </x:c>
      <x:c r="E23" s="32" t="str">
        <x:v>Обзор!H8</x:v>
      </x:c>
      <x:c r="F23" s="32" t="str">
        <x:v>Да</x:v>
      </x:c>
      <x:c r="G23" s="32" t="str">
        <x:v>Средний</x:v>
      </x:c>
      <x:c r="H23" s="32" t="str"/>
      <x:c r="I23" s="32"/>
      <x:c r="J23" s="32"/>
    </x:row>
    <x:row r="24">
      <x:c r="A24" s="32" t="str">
        <x:v>company_value_m36</x:v>
      </x:c>
      <x:c r="B24" s="32" t="str">
        <x:v>Стоимость QORSYS в базовом M36</x:v>
      </x:c>
      <x:c r="C24" s="242" t="n">
        <x:f>'Обзор'!K11</x:f>
        <x:v>806030934.0971963</x:v>
      </x:c>
      <x:c r="D24" s="32" t="str">
        <x:v>₽</x:v>
      </x:c>
      <x:c r="E24" s="32" t="str">
        <x:v>Обзор!K11</x:v>
      </x:c>
      <x:c r="F24" s="32" t="str">
        <x:v>Да</x:v>
      </x:c>
      <x:c r="G24" s="32" t="str">
        <x:v>Высокий</x:v>
      </x:c>
      <x:c r="H24" s="32" t="str"/>
      <x:c r="I24" s="32"/>
      <x:c r="J24" s="32"/>
    </x:row>
    <x:row r="25">
      <x:c r="A25" s="32" t="str">
        <x:v>investor_value_m36</x:v>
      </x:c>
      <x:c r="B25" s="32" t="str">
        <x:v>Стоимость доли инвестора в базовом M36</x:v>
      </x:c>
      <x:c r="C25" s="242" t="n">
        <x:f>'Обзор'!K9</x:f>
        <x:v>52817433.84333426</x:v>
      </x:c>
      <x:c r="D25" s="32" t="str">
        <x:v>₽</x:v>
      </x:c>
      <x:c r="E25" s="32" t="str">
        <x:v>Обзор!K9</x:v>
      </x:c>
      <x:c r="F25" s="32" t="str">
        <x:v>Да</x:v>
      </x:c>
      <x:c r="G25" s="32" t="str">
        <x:v>Высокий</x:v>
      </x:c>
      <x:c r="H25" s="32" t="str"/>
      <x:c r="I25" s="32"/>
      <x:c r="J25" s="32"/>
    </x:row>
    <x:row r="26">
      <x:c r="A26" s="32" t="str">
        <x:v>investor_moic</x:v>
      </x:c>
      <x:c r="B26" s="32" t="str">
        <x:v>Мультипликатор инвестора</x:v>
      </x:c>
      <x:c r="C26" s="234" t="n">
        <x:f>'Обзор'!K10</x:f>
        <x:v>3.5211622562222837</x:v>
      </x:c>
      <x:c r="D26" s="32" t="str">
        <x:v>x</x:v>
      </x:c>
      <x:c r="E26" s="32" t="str">
        <x:v>Обзор!K10</x:v>
      </x:c>
      <x:c r="F26" s="32" t="str">
        <x:v>Да</x:v>
      </x:c>
      <x:c r="G26" s="32" t="str">
        <x:v>Высокий</x:v>
      </x:c>
      <x:c r="H26" s="32" t="str"/>
      <x:c r="I26" s="32"/>
      <x:c r="J26" s="32"/>
    </x:row>
    <x:row r="27">
      <x:c r="A27" s="32"/>
      <x:c r="B27" s="32"/>
      <x:c r="C27" s="32"/>
      <x:c r="D27" s="32"/>
      <x:c r="E27" s="32"/>
      <x:c r="F27" s="32"/>
      <x:c r="G27" s="32"/>
      <x:c r="H27" s="32"/>
      <x:c r="I27" s="32"/>
      <x:c r="J27" s="32"/>
    </x:row>
    <x:row r="28">
      <x:c r="A28" s="32"/>
      <x:c r="B28" s="32"/>
      <x:c r="C28" s="32"/>
      <x:c r="D28" s="32"/>
      <x:c r="E28" s="32"/>
      <x:c r="F28" s="32"/>
      <x:c r="G28" s="32"/>
      <x:c r="H28" s="32"/>
      <x:c r="I28" s="32"/>
      <x:c r="J28" s="32"/>
    </x:row>
    <x:row r="29">
      <x:c r="A29" s="32"/>
      <x:c r="B29" s="32"/>
      <x:c r="C29" s="32"/>
      <x:c r="D29" s="32"/>
      <x:c r="E29" s="32"/>
      <x:c r="F29" s="32"/>
      <x:c r="G29" s="32"/>
      <x:c r="H29" s="32"/>
      <x:c r="I29" s="32"/>
      <x:c r="J29" s="32"/>
    </x:row>
    <x:row r="30">
      <x:c r="A30" s="32"/>
      <x:c r="B30" s="32"/>
      <x:c r="C30" s="32"/>
      <x:c r="D30" s="32"/>
      <x:c r="E30" s="32"/>
      <x:c r="F30" s="32"/>
      <x:c r="G30" s="32"/>
      <x:c r="H30" s="32"/>
      <x:c r="I30" s="32"/>
      <x:c r="J30" s="32"/>
    </x:row>
    <x:row r="31">
      <x:c r="A31" s="32"/>
      <x:c r="B31" s="32"/>
      <x:c r="C31" s="32"/>
      <x:c r="D31" s="32"/>
      <x:c r="E31" s="32"/>
      <x:c r="F31" s="32"/>
      <x:c r="G31" s="32"/>
      <x:c r="H31" s="32"/>
      <x:c r="I31" s="32"/>
      <x:c r="J31" s="32"/>
    </x:row>
    <x:row r="32">
      <x:c r="A32" s="32"/>
      <x:c r="B32" s="32"/>
      <x:c r="C32" s="32"/>
      <x:c r="D32" s="32"/>
      <x:c r="E32" s="32"/>
      <x:c r="F32" s="32"/>
      <x:c r="G32" s="32"/>
      <x:c r="H32" s="32"/>
      <x:c r="I32" s="32"/>
      <x:c r="J32" s="32"/>
    </x:row>
    <x:row r="33">
      <x:c r="A33" s="32"/>
      <x:c r="B33" s="32"/>
      <x:c r="C33" s="32"/>
      <x:c r="D33" s="32"/>
      <x:c r="E33" s="32"/>
      <x:c r="F33" s="32"/>
      <x:c r="G33" s="32"/>
      <x:c r="H33" s="32"/>
      <x:c r="I33" s="32"/>
      <x:c r="J33" s="32"/>
    </x:row>
    <x:row r="34">
      <x:c r="A34" s="32"/>
      <x:c r="B34" s="32"/>
      <x:c r="C34" s="32"/>
      <x:c r="D34" s="32"/>
      <x:c r="E34" s="32"/>
      <x:c r="F34" s="32"/>
      <x:c r="G34" s="32"/>
      <x:c r="H34" s="32"/>
      <x:c r="I34" s="32"/>
      <x:c r="J34" s="32"/>
    </x:row>
    <x:row r="35">
      <x:c r="A35" s="32"/>
      <x:c r="B35" s="32"/>
      <x:c r="C35" s="32"/>
      <x:c r="D35" s="32"/>
      <x:c r="E35" s="32"/>
      <x:c r="F35" s="32"/>
      <x:c r="G35" s="32"/>
      <x:c r="H35" s="32"/>
      <x:c r="I35" s="32"/>
      <x:c r="J35" s="32"/>
    </x:row>
    <x:row r="36">
      <x:c r="A36" s="32"/>
      <x:c r="B36" s="32"/>
      <x:c r="C36" s="32"/>
      <x:c r="D36" s="32"/>
      <x:c r="E36" s="32"/>
      <x:c r="F36" s="32"/>
      <x:c r="G36" s="32"/>
      <x:c r="H36" s="32"/>
      <x:c r="I36" s="32"/>
      <x:c r="J36" s="32"/>
    </x:row>
    <x:row r="37">
      <x:c r="A37" s="32"/>
      <x:c r="B37" s="32"/>
      <x:c r="C37" s="32"/>
      <x:c r="D37" s="32"/>
      <x:c r="E37" s="32"/>
      <x:c r="F37" s="32"/>
      <x:c r="G37" s="32"/>
      <x:c r="H37" s="32"/>
      <x:c r="I37" s="32"/>
      <x:c r="J37" s="32"/>
    </x:row>
    <x:row r="38">
      <x:c r="A38" s="32"/>
      <x:c r="B38" s="32"/>
      <x:c r="C38" s="32"/>
      <x:c r="D38" s="32"/>
      <x:c r="E38" s="32"/>
      <x:c r="F38" s="32"/>
      <x:c r="G38" s="32"/>
      <x:c r="H38" s="32"/>
      <x:c r="I38" s="32"/>
      <x:c r="J38" s="32"/>
    </x:row>
    <x:row r="39">
      <x:c r="A39" s="32"/>
      <x:c r="B39" s="32"/>
      <x:c r="C39" s="32"/>
      <x:c r="D39" s="32"/>
      <x:c r="E39" s="32"/>
      <x:c r="F39" s="32"/>
      <x:c r="G39" s="32"/>
      <x:c r="H39" s="32"/>
      <x:c r="I39" s="32"/>
      <x:c r="J39" s="32"/>
    </x:row>
    <x:row r="40">
      <x:c r="A40" s="32"/>
      <x:c r="B40" s="32"/>
      <x:c r="C40" s="32"/>
      <x:c r="D40" s="32"/>
      <x:c r="E40" s="32"/>
      <x:c r="F40" s="32"/>
      <x:c r="G40" s="32"/>
      <x:c r="H40" s="32"/>
      <x:c r="I40" s="32"/>
      <x:c r="J40" s="32"/>
    </x:row>
  </x:sheetData>
  <x:mergeCells>
    <x:mergeCell ref="A1:J1"/>
    <x:mergeCell ref="A2:J2"/>
    <x:mergeCell ref="A16:H16"/>
  </x:mergeCells>
  <x:pageMargins left="0.7" right="0.7" top="0.75" bottom="0.75" header="0.3" footer="0.3"/>
</x:worksheet>
</file>

<file path=xl/worksheets/sheet15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22" hidden="0" customWidth="1"/>
    <x:col min="3" max="3" width="20" hidden="0" customWidth="1"/>
    <x:col min="4" max="4" width="22" hidden="0" customWidth="1"/>
    <x:col min="5" max="5" width="30" hidden="0" customWidth="1"/>
    <x:col min="6" max="6" width="44" hidden="0" customWidth="1"/>
    <x:col min="7" max="7" width="50" hidden="0" customWidth="1"/>
    <x:col min="8" max="8" width="26" hidden="0" customWidth="1"/>
    <x:col min="9" max="9" width="28" hidden="0" customWidth="1"/>
    <x:col min="10" max="10" width="42" hidden="0" customWidth="1"/>
    <x:col min="11" max="11" width="11" hidden="0" customWidth="1"/>
    <x:col min="12" max="12" width="11" hidden="0" customWidth="1"/>
    <x:col min="13" max="13" width="11" hidden="0" customWidth="1"/>
    <x:col min="14" max="14" width="11" hidden="0" customWidth="1"/>
    <x:col min="15" max="15" width="11" hidden="0" customWidth="1"/>
    <x:col min="16" max="16" width="11" hidden="0" customWidth="1"/>
    <x:col min="17" max="17" width="11" hidden="0" customWidth="1"/>
    <x:col min="18" max="18" width="11" hidden="0" customWidth="1"/>
    <x:col min="19" max="19" width="11" hidden="0" customWidth="1"/>
    <x:col min="20" max="20" width="11" hidden="0" customWidth="1"/>
    <x:col min="21" max="21" width="11" hidden="0" customWidth="1"/>
    <x:col min="22" max="22" width="11" hidden="0" customWidth="1"/>
    <x:col min="23" max="23" width="11" hidden="0" customWidth="1"/>
    <x:col min="24" max="24" width="11" hidden="0" customWidth="1"/>
    <x:col min="25" max="25" width="11" hidden="0" customWidth="1"/>
    <x:col min="26" max="26" width="11" hidden="0" customWidth="1"/>
    <x:col min="27" max="27" width="11" hidden="0" customWidth="1"/>
    <x:col min="28" max="28" width="11" hidden="0" customWidth="1"/>
    <x:col min="29" max="29" width="11" hidden="0" customWidth="1"/>
    <x:col min="30" max="30" width="11" hidden="0" customWidth="1"/>
    <x:col min="31" max="31" width="11" hidden="0" customWidth="1"/>
    <x:col min="32" max="32" width="11" hidden="0" customWidth="1"/>
    <x:col min="33" max="33" width="11" hidden="0" customWidth="1"/>
    <x:col min="34" max="34" width="11" hidden="0" customWidth="1"/>
    <x:col min="35" max="35" width="11" hidden="0" customWidth="1"/>
    <x:col min="36" max="36" width="11" hidden="0" customWidth="1"/>
    <x:col min="37" max="37" width="11" hidden="0" customWidth="1"/>
    <x:col min="38" max="38" width="11" hidden="0" customWidth="1"/>
    <x:col min="39" max="39" width="11" hidden="0" customWidth="1"/>
    <x:col min="40" max="40" width="11" hidden="0" customWidth="1"/>
    <x:col min="41" max="41" width="11" hidden="0" customWidth="1"/>
    <x:col min="42" max="42" width="11" hidden="0" customWidth="1"/>
    <x:col min="43" max="43" width="11" hidden="0" customWidth="1"/>
    <x:col min="44" max="44" width="11" hidden="0" customWidth="1"/>
    <x:col min="45" max="45" width="11" hidden="0" customWidth="1"/>
  </x:cols>
  <x:sheetData>
    <x:row r="1" ht="28" customHeight="1">
      <x:c r="A1" s="333" t="str">
        <x:v>QORSYS — налоговая стратегия и господдержка</x:v>
      </x:c>
      <x:c r="B1" s="333"/>
      <x:c r="C1" s="333"/>
      <x:c r="D1" s="333"/>
      <x:c r="E1" s="333"/>
      <x:c r="F1" s="333"/>
      <x:c r="G1" s="333"/>
      <x:c r="H1" s="333"/>
    </x:row>
    <x:row r="2">
      <x:c r="A2" s="323"/>
      <x:c r="B2" s="323"/>
      <x:c r="C2" s="323"/>
      <x:c r="D2" s="323"/>
      <x:c r="E2" s="323"/>
      <x:c r="F2" s="323"/>
      <x:c r="G2" s="323"/>
      <x:c r="H2" s="323"/>
    </x:row>
    <x:row r="3">
      <x:c r="A3" s="324" t="str">
        <x:v>Ключевые параметры стратегии</x:v>
      </x:c>
      <x:c r="B3" s="324"/>
      <x:c r="C3" s="324"/>
      <x:c r="D3" s="324"/>
      <x:c r="E3" s="324"/>
      <x:c r="F3" s="324"/>
      <x:c r="G3" s="324"/>
      <x:c r="H3" s="324"/>
    </x:row>
    <x:row r="4">
      <x:c r="A4" s="324" t="str">
        <x:v>Параметр</x:v>
      </x:c>
      <x:c r="B4" s="324" t="str">
        <x:v>Значение</x:v>
      </x:c>
      <x:c r="C4" s="324" t="str">
        <x:v>Статус</x:v>
      </x:c>
      <x:c r="D4" s="324" t="str">
        <x:v>Комментарий</x:v>
      </x:c>
      <x:c r="E4" s="324" t="str">
        <x:v>Источник</x:v>
      </x:c>
      <x:c r="F4" s="324" t="str"/>
      <x:c r="G4" s="324" t="str"/>
      <x:c r="H4" s="324" t="str"/>
    </x:row>
    <x:row r="5">
      <x:c r="A5" s="323" t="str">
        <x:v>Рекомендуемый регион регистрации</x:v>
      </x:c>
      <x:c r="B5" s="326" t="str">
        <x:v>Санкт-Петербург</x:v>
      </x:c>
      <x:c r="C5" s="323" t="str">
        <x:v>Рабочая рекомендация</x:v>
      </x:c>
      <x:c r="D5" s="323" t="str">
        <x:v>УСН 1% / 5% для аккредитованных IT до 31.12.2030; аналогичные ставки для МТК.</x:v>
      </x:c>
      <x:c r="E5" s="323" t="str">
        <x:v>https://www.nalog.gov.ru/rn78/taxation/taxes/usn/</x:v>
      </x:c>
      <x:c r="F5" s="323" t="str"/>
      <x:c r="G5" s="323" t="str"/>
      <x:c r="H5" s="323" t="str"/>
    </x:row>
    <x:row r="6">
      <x:c r="A6" s="323" t="str">
        <x:v>Основной ОКВЭД</x:v>
      </x:c>
      <x:c r="B6" s="326" t="str">
        <x:v>62.01</x:v>
      </x:c>
      <x:c r="C6" s="323" t="str">
        <x:v>Зафиксировано</x:v>
      </x:c>
      <x:c r="D6" s="323" t="str">
        <x:v>Разработка компьютерного программного обеспечения.</x:v>
      </x:c>
      <x:c r="E6" s="323" t="str"/>
      <x:c r="F6" s="323" t="str"/>
      <x:c r="G6" s="323" t="str"/>
      <x:c r="H6" s="323" t="str"/>
    </x:row>
    <x:row r="7">
      <x:c r="A7" s="323" t="str">
        <x:v>Целевая доля квалифицируемой IT-выручки</x:v>
      </x:c>
      <x:c r="B7" s="327" t="n">
        <x:v>0.8</x:v>
      </x:c>
      <x:c r="C7" s="323" t="str">
        <x:v>Внутренний target</x:v>
      </x:c>
      <x:c r="D7" s="323" t="str">
        <x:v>Юридический минимум для федеральных IT-льгот — 70%; 80% дает запас.</x:v>
      </x:c>
      <x:c r="E7" s="323" t="str"/>
      <x:c r="F7" s="323" t="str"/>
      <x:c r="G7" s="323" t="str"/>
      <x:c r="H7" s="323" t="str"/>
    </x:row>
    <x:row r="8">
      <x:c r="A8" s="323" t="str">
        <x:v>Стартовый налоговый сценарий в модели</x:v>
      </x:c>
      <x:c r="B8" s="418" t="str">
        <x:f>B82</x:f>
        <x:v>УСН 6% → СПб IT 1% после gate</x:v>
      </x:c>
      <x:c r="C8" s="323" t="str">
        <x:v>Сценарный input</x:v>
      </x:c>
      <x:c r="D8" s="323" t="str">
        <x:v>Не является юридически зафиксированным режимом; выбирается в B82 и сравнивается с альтернативами.</x:v>
      </x:c>
      <x:c r="E8" s="323"/>
      <x:c r="F8" s="323" t="str"/>
      <x:c r="G8" s="323" t="str"/>
      <x:c r="H8" s="323" t="str"/>
    </x:row>
    <x:row r="9">
      <x:c r="A9" s="323" t="str">
        <x:v>Модельный старт налогового года</x:v>
      </x:c>
      <x:c r="B9" s="326" t="n">
        <x:v>2027</x:v>
      </x:c>
      <x:c r="C9" s="323" t="str">
        <x:v>Допущение</x:v>
      </x:c>
      <x:c r="D9" s="323" t="str">
        <x:v>Для сценарной модели: Год 1 = 2027, Год 2 = 2028, Год 3 = 2029.</x:v>
      </x:c>
      <x:c r="E9" s="323" t="str"/>
      <x:c r="F9" s="323" t="str"/>
      <x:c r="G9" s="323" t="str"/>
      <x:c r="H9" s="323" t="str"/>
    </x:row>
    <x:row r="10">
      <x:c r="A10" s="323" t="str">
        <x:v>Реестр российского ПО</x:v>
      </x:c>
      <x:c r="B10" s="326" t="str">
        <x:v>Цель: 2027</x:v>
      </x:c>
      <x:c r="C10" s="323" t="str">
        <x:v>Roadmap</x:v>
      </x:c>
      <x:c r="D10" s="323" t="str">
        <x:v>Нужен для статуса российского продукта и освобождения квалифицируемой передачи прав от НДС.</x:v>
      </x:c>
      <x:c r="E10" s="323" t="str"/>
      <x:c r="F10" s="323" t="str"/>
      <x:c r="G10" s="323" t="str"/>
      <x:c r="H10" s="323" t="str"/>
    </x:row>
    <x:row r="11">
      <x:c r="A11" s="323" t="str">
        <x:v>Сколково</x:v>
      </x:c>
      <x:c r="B11" s="326" t="str">
        <x:v>Цель: 2027</x:v>
      </x:c>
      <x:c r="C11" s="323" t="str">
        <x:v>Roadmap</x:v>
      </x:c>
      <x:c r="D11" s="323" t="str">
        <x:v>В сценарии не включается автоматически, пока статус не получен.</x:v>
      </x:c>
      <x:c r="E11" s="323" t="str">
        <x:v>https://sk.ru/tax-facilities/</x:v>
      </x:c>
      <x:c r="F11" s="323" t="str"/>
      <x:c r="G11" s="323" t="str"/>
      <x:c r="H11" s="323" t="str"/>
    </x:row>
    <x:row r="12">
      <x:c r="A12" s="323" t="str">
        <x:v>МТК</x:v>
      </x:c>
      <x:c r="B12" s="326" t="str">
        <x:v>Цель: 2027–2028</x:v>
      </x:c>
      <x:c r="C12" s="323" t="str">
        <x:v>Roadmap</x:v>
      </x:c>
      <x:c r="D12" s="323" t="str">
        <x:v>В СПб отдельная льгота УСН 1% / 5% до 2030.</x:v>
      </x:c>
      <x:c r="E12" s="323" t="str">
        <x:v>https://www.nalog.gov.ru/rn78/taxation/taxes/usn/</x:v>
      </x:c>
      <x:c r="F12" s="323" t="str"/>
      <x:c r="G12" s="323" t="str"/>
      <x:c r="H12" s="323" t="str"/>
    </x:row>
    <x:row r="13">
      <x:c r="A13" s="323"/>
      <x:c r="B13" s="323"/>
      <x:c r="C13" s="323"/>
      <x:c r="D13" s="323"/>
      <x:c r="E13" s="323"/>
      <x:c r="F13" s="323"/>
      <x:c r="G13" s="323"/>
      <x:c r="H13" s="323"/>
    </x:row>
    <x:row r="14">
      <x:c r="A14" s="324" t="str">
        <x:v>Региональный shortlist для регистрации</x:v>
      </x:c>
      <x:c r="B14" s="324"/>
      <x:c r="C14" s="324"/>
      <x:c r="D14" s="324"/>
      <x:c r="E14" s="324"/>
      <x:c r="F14" s="324"/>
      <x:c r="G14" s="324"/>
      <x:c r="H14" s="324"/>
    </x:row>
    <x:row r="15">
      <x:c r="A15" s="324" t="str">
        <x:v>Регион</x:v>
      </x:c>
      <x:c r="B15" s="324" t="str">
        <x:v>УСН Доходы</x:v>
      </x:c>
      <x:c r="C15" s="324" t="str">
        <x:v>УСН Д-Р</x:v>
      </x:c>
      <x:c r="D15" s="324" t="str">
        <x:v>Горизонт / статус</x:v>
      </x:c>
      <x:c r="E15" s="324" t="str">
        <x:v>Ключевые условия</x:v>
      </x:c>
      <x:c r="F15" s="324" t="str">
        <x:v>Роль в roadmap</x:v>
      </x:c>
      <x:c r="G15" s="324" t="str">
        <x:v>Источник</x:v>
      </x:c>
      <x:c r="H15" s="324" t="str">
        <x:v>Комментарий</x:v>
      </x:c>
    </x:row>
    <x:row r="16">
      <x:c r="A16" s="323" t="str">
        <x:v>Санкт-Петербург</x:v>
      </x:c>
      <x:c r="B16" s="328" t="n">
        <x:v>0.01</x:v>
      </x:c>
      <x:c r="C16" s="328" t="n">
        <x:v>0.05</x:v>
      </x:c>
      <x:c r="D16" s="323" t="str">
        <x:v>до 31.12.2030</x:v>
      </x:c>
      <x:c r="E16" s="323" t="str">
        <x:v>Аккредитация IT; доля профильных доходов ≥70%; средняя зарплата не ниже регионального минимума</x:v>
      </x:c>
      <x:c r="F16" s="323" t="str">
        <x:v>Основной кандидат</x:v>
      </x:c>
      <x:c r="G16" s="323" t="str">
        <x:v>https://www.nalog.gov.ru/rn78/taxation/taxes/usn/</x:v>
      </x:c>
      <x:c r="H16" s="323" t="str">
        <x:v>Также отдельный контур 1% / 5% для МТК до 2030</x:v>
      </x:c>
    </x:row>
    <x:row r="17">
      <x:c r="A17" s="323" t="str">
        <x:v>Новосибирская область</x:v>
      </x:c>
      <x:c r="B17" s="328"/>
      <x:c r="C17" s="328" t="n">
        <x:v>0.05</x:v>
      </x:c>
      <x:c r="D17" s="323" t="str">
        <x:v>действует по текущей редакции</x:v>
      </x:c>
      <x:c r="E17" s="323" t="str">
        <x:v>Государственная IT-аккредитация</x:v>
      </x:c>
      <x:c r="F17" s="323" t="str">
        <x:v>Резерв</x:v>
      </x:c>
      <x:c r="G17" s="323" t="str">
        <x:v>https://www.nalog.gov.ru/rn54/taxation/taxes/usn/</x:v>
      </x:c>
      <x:c r="H17" s="323" t="str">
        <x:v>Сильный IT-регион; нет найденной льготы 1% по доходам</x:v>
      </x:c>
    </x:row>
    <x:row r="18">
      <x:c r="A18" s="323" t="str">
        <x:v>Ленинградская область</x:v>
      </x:c>
      <x:c r="B18" s="328" t="n">
        <x:v>0.01</x:v>
      </x:c>
      <x:c r="C18" s="328" t="n">
        <x:v>0.05</x:v>
      </x:c>
      <x:c r="D18" s="323" t="str">
        <x:v>часть IT-льгот требует проверки на 2027</x:v>
      </x:c>
      <x:c r="E18" s="323" t="str">
        <x:v>Для 1% — условия правообладателя российского ПО / действующая редакция закона</x:v>
      </x:c>
      <x:c r="F18" s="323" t="str">
        <x:v>Наблюдать</x:v>
      </x:c>
      <x:c r="G18" s="323" t="str">
        <x:v>https://www.nalog.gov.ru/rn47/news/tax_doc_news/16594893/</x:v>
      </x:c>
      <x:c r="H18" s="323" t="str">
        <x:v>Не фиксировать до проверки норм на дату регистрации</x:v>
      </x:c>
    </x:row>
    <x:row r="19">
      <x:c r="A19" s="323" t="str">
        <x:v>Ростовская область</x:v>
      </x:c>
      <x:c r="B19" s="328" t="n">
        <x:v>0.01</x:v>
      </x:c>
      <x:c r="C19" s="328" t="n">
        <x:v>0.05</x:v>
      </x:c>
      <x:c r="D19" s="323" t="str">
        <x:v>текущая льгота 2026</x:v>
      </x:c>
      <x:c r="E19" s="323" t="str">
        <x:v>ОКВЭД 62.01 и условия регионального закона</x:v>
      </x:c>
      <x:c r="F19" s="323" t="str">
        <x:v>Не базовый</x:v>
      </x:c>
      <x:c r="G19" s="323" t="str">
        <x:v>https://www.nalog.gov.ru/rn61/taxation/taxes/usn/</x:v>
      </x:c>
      <x:c r="H19" s="323" t="str">
        <x:v>Нужна новая проверка при продлении на 2027</x:v>
      </x:c>
    </x:row>
    <x:row r="20">
      <x:c r="A20" s="323" t="str">
        <x:v>Псковская область</x:v>
      </x:c>
      <x:c r="B20" s="328"/>
      <x:c r="C20" s="328" t="n">
        <x:v>0.05</x:v>
      </x:c>
      <x:c r="D20" s="323" t="str">
        <x:v>IT-льгота указана на 2022–2026</x:v>
      </x:c>
      <x:c r="E20" s="323" t="str">
        <x:v>IT-аккредитация; доля соответствующих доходов ≥70%</x:v>
      </x:c>
      <x:c r="F20" s="323" t="str">
        <x:v>Не базовый</x:v>
      </x:c>
      <x:c r="G20" s="323" t="str">
        <x:v>https://www.nalog.gov.ru/rn60/taxation/taxes/usn/</x:v>
      </x:c>
      <x:c r="H20" s="323" t="str">
        <x:v>Нужна новая проверка продления</x:v>
      </x:c>
    </x:row>
    <x:row r="21">
      <x:c r="A21" s="323" t="str">
        <x:v>Республика Крым</x:v>
      </x:c>
      <x:c r="B21" s="328" t="n">
        <x:v>0.01</x:v>
      </x:c>
      <x:c r="C21" s="328" t="n">
        <x:v>0.05</x:v>
      </x:c>
      <x:c r="D21" s="323" t="str">
        <x:v>льгота 2026 по текущей странице</x:v>
      </x:c>
      <x:c r="E21" s="323" t="str">
        <x:v>IT-компания / правообладатель российского ПО; дополнительные условия</x:v>
      </x:c>
      <x:c r="F21" s="323" t="str">
        <x:v>Не базовый</x:v>
      </x:c>
      <x:c r="G21" s="323" t="str">
        <x:v>https://www.nalog.gov.ru/rn91/taxation/TAXES/usn/</x:v>
      </x:c>
      <x:c r="H21" s="323" t="str">
        <x:v>Не используем как долгосрочную базу без продления</x:v>
      </x:c>
    </x:row>
    <x:row r="22">
      <x:c r="A22" s="323"/>
      <x:c r="B22" s="323"/>
      <x:c r="C22" s="323"/>
      <x:c r="D22" s="323"/>
      <x:c r="E22" s="323"/>
      <x:c r="F22" s="323"/>
      <x:c r="G22" s="323"/>
      <x:c r="H22" s="323"/>
    </x:row>
    <x:row r="23">
      <x:c r="A23" s="324" t="str">
        <x:v>База из финансовой модели — базовый сценарий</x:v>
      </x:c>
      <x:c r="B23" s="324"/>
      <x:c r="C23" s="324"/>
      <x:c r="D23" s="324"/>
      <x:c r="E23" s="324"/>
      <x:c r="F23" s="324"/>
      <x:c r="G23" s="324"/>
      <x:c r="H23" s="324"/>
    </x:row>
    <x:row r="24">
      <x:c r="A24" s="324" t="str">
        <x:v>Показатель</x:v>
      </x:c>
      <x:c r="B24" s="324" t="str">
        <x:v>Год 1</x:v>
      </x:c>
      <x:c r="C24" s="324" t="str">
        <x:v>Год 2</x:v>
      </x:c>
      <x:c r="D24" s="324" t="str">
        <x:v>Год 3</x:v>
      </x:c>
      <x:c r="E24" s="324" t="str">
        <x:v>Комментарий</x:v>
      </x:c>
      <x:c r="F24" s="334"/>
      <x:c r="G24" s="334"/>
      <x:c r="H24" s="334"/>
    </x:row>
    <x:row r="25">
      <x:c r="A25" s="323" t="str">
        <x:v>Календарный год</x:v>
      </x:c>
      <x:c r="B25" s="323" t="n">
        <x:v>2027</x:v>
      </x:c>
      <x:c r="C25" s="323" t="n">
        <x:v>2028</x:v>
      </x:c>
      <x:c r="D25" s="323" t="n">
        <x:v>2029</x:v>
      </x:c>
      <x:c r="E25" s="323" t="str">
        <x:v>Сценарное соответствие; изменяемый параметр</x:v>
      </x:c>
      <x:c r="F25" s="323"/>
      <x:c r="G25" s="323"/>
      <x:c r="H25" s="323"/>
    </x:row>
    <x:row r="26">
      <x:c r="A26" s="323" t="str">
        <x:v>Выручка, ₽</x:v>
      </x:c>
      <x:c r="B26" s="329" t="n">
        <x:f>'Сводка'!B17</x:f>
        <x:v>66665934.03317751</x:v>
      </x:c>
      <x:c r="C26" s="329" t="n">
        <x:f>'Сводка'!C17</x:f>
        <x:v>161140839.27694833</x:v>
      </x:c>
      <x:c r="D26" s="329" t="n">
        <x:f>'Сводка'!D17</x:f>
        <x:v>307258157.9225837</x:v>
      </x:c>
      <x:c r="E26" s="323" t="str">
        <x:v>Ссылка на лист «Сводка»</x:v>
      </x:c>
      <x:c r="F26" s="323"/>
      <x:c r="G26" s="323"/>
      <x:c r="H26" s="323"/>
    </x:row>
    <x:row r="27">
      <x:c r="A27" s="323" t="str">
        <x:v>Лицензионная выручка, ₽</x:v>
      </x:c>
      <x:c r="B27" s="329" t="n">
        <x:f>'Сводка'!B8</x:f>
        <x:v>25415934.0331775</x:v>
      </x:c>
      <x:c r="C27" s="329" t="n">
        <x:f>'Сводка'!C8</x:f>
        <x:v>101740839.27694832</x:v>
      </x:c>
      <x:c r="D27" s="329" t="n">
        <x:f>'Сводка'!D8</x:f>
        <x:v>208258157.92258364</x:v>
      </x:c>
      <x:c r="E27" s="323" t="str">
        <x:v>Потенциально НДС-освобождаемая после Реестра ПО при соблюдении условий</x:v>
      </x:c>
      <x:c r="F27" s="323"/>
      <x:c r="G27" s="323"/>
      <x:c r="H27" s="323"/>
    </x:row>
    <x:row r="28">
      <x:c r="A28" s="323" t="str">
        <x:v>Прочая / внедренческая выручка, ₽</x:v>
      </x:c>
      <x:c r="B28" s="329" t="n">
        <x:f>B26-B27</x:f>
        <x:v>41250000.000000015</x:v>
      </x:c>
      <x:c r="C28" s="329" t="n">
        <x:f>C26-C27</x:f>
        <x:v>59400000.000000015</x:v>
      </x:c>
      <x:c r="D28" s="329" t="n">
        <x:f>D26-D27</x:f>
        <x:v>99000000.00000006</x:v>
      </x:c>
      <x:c r="E28" s="323" t="str">
        <x:v>Выручка минус лицензии; НДС-квалификация зависит от предмета договора</x:v>
      </x:c>
      <x:c r="F28" s="323"/>
      <x:c r="G28" s="323"/>
      <x:c r="H28" s="323"/>
    </x:row>
    <x:row r="29">
      <x:c r="A29" s="323" t="str">
        <x:v>Операционная прибыль до налогов и employer contributions, ₽</x:v>
      </x:c>
      <x:c r="B29" s="329" t="n">
        <x:f>'Сводка'!B20+B89</x:f>
        <x:v>-1748871.6927944496</x:v>
      </x:c>
      <x:c r="C29" s="329" t="n">
        <x:f>'Сводка'!C20+C89</x:f>
        <x:v>60878937.68916887</x:v>
      </x:c>
      <x:c r="D29" s="329" t="n">
        <x:f>'Сводка'!D20+D89</x:f>
        <x:v>168280896.72643772</x:v>
      </x:c>
      <x:c r="E29" s="323" t="str">
        <x:v>База до страховых взносов; не зависит от выбранного сценария</x:v>
      </x:c>
      <x:c r="F29" s="323"/>
      <x:c r="G29" s="323"/>
      <x:c r="H29" s="323"/>
    </x:row>
    <x:row r="30">
      <x:c r="A30" s="323"/>
      <x:c r="B30" s="323"/>
      <x:c r="C30" s="323"/>
      <x:c r="D30" s="323"/>
      <x:c r="E30" s="323"/>
      <x:c r="F30" s="323"/>
      <x:c r="G30" s="323"/>
      <x:c r="H30" s="323"/>
    </x:row>
    <x:row r="31">
      <x:c r="A31" s="360" t="str">
        <x:v>STEADY-STATE сравнение налогов — не заменяет effective-date bridge</x:v>
      </x:c>
      <x:c r="B31" s="360"/>
      <x:c r="C31" s="360"/>
      <x:c r="D31" s="360"/>
      <x:c r="E31" s="360"/>
      <x:c r="F31" s="360"/>
      <x:c r="G31" s="360"/>
      <x:c r="H31" s="360"/>
    </x:row>
    <x:row r="32">
      <x:c r="A32" s="361" t="str">
        <x:v>Сценарий</x:v>
      </x:c>
      <x:c r="B32" s="361" t="str">
        <x:v>Год 1</x:v>
      </x:c>
      <x:c r="C32" s="361" t="str">
        <x:v>Год 2</x:v>
      </x:c>
      <x:c r="D32" s="361" t="str">
        <x:v>Год 3</x:v>
      </x:c>
      <x:c r="E32" s="361" t="str">
        <x:v>3 года</x:v>
      </x:c>
      <x:c r="F32" s="361" t="str">
        <x:v>Комментарий</x:v>
      </x:c>
      <x:c r="G32" s="361"/>
      <x:c r="H32" s="361"/>
    </x:row>
    <x:row r="33">
      <x:c r="A33" s="323" t="str">
        <x:v>СПб IT — УСН 1% «Доходы»</x:v>
      </x:c>
      <x:c r="B33" s="329" t="n">
        <x:f>MAX(0.5*1%*B26,1%*B26-B75)</x:f>
        <x:v>333329.67016588757</x:v>
      </x:c>
      <x:c r="C33" s="329" t="n">
        <x:f>MAX(0.5*1%*C26,1%*C26-C75)</x:f>
        <x:v>805704.1963847417</x:v>
      </x:c>
      <x:c r="D33" s="329" t="n">
        <x:f>MAX(0.5*1%*D26,1%*D26-D75)</x:f>
        <x:v>1536290.7896129186</x:v>
      </x:c>
      <x:c r="E33" s="329" t="n">
        <x:f>SUM(B33:D33)</x:f>
        <x:v>2675324.656163548</x:v>
      </x:c>
      <x:c r="F33" s="323" t="str">
        <x:v>После подтверждения региональной IT-ставки; уменьшение УСН на взносы не более 50%</x:v>
      </x:c>
      <x:c r="G33" s="323" t="str">
        <x:v>https://www.nalog.gov.ru/rn77/taxation/taxes/usn/12499487/</x:v>
      </x:c>
      <x:c r="H33" s="323"/>
    </x:row>
    <x:row r="34">
      <x:c r="A34" s="323" t="str">
        <x:v>СПб IT — УСН 5% «Д-Р»</x:v>
      </x:c>
      <x:c r="B34" s="329" t="n">
        <x:f>MAX(1%*B26,5%*MAX(B29-B75,0))</x:f>
        <x:v>666659.3403317751</x:v>
      </x:c>
      <x:c r="C34" s="329" t="n">
        <x:f>MAX(1%*C26,5%*MAX(C29-C75,0))</x:f>
        <x:v>2781066.184458444</x:v>
      </x:c>
      <x:c r="D34" s="329" t="n">
        <x:f>MAX(1%*D26,5%*MAX(D29-D75,0))</x:f>
        <x:v>8151164.136321886</x:v>
      </x:c>
      <x:c r="E34" s="329" t="n">
        <x:f>SUM(B34:D34)</x:f>
        <x:v>11598889.661112105</x:v>
      </x:c>
      <x:c r="F34" s="323" t="str">
        <x:v>После подтверждения региональной IT-ставки; minimum tax 1% учтен</x:v>
      </x:c>
      <x:c r="G34" s="323"/>
      <x:c r="H34" s="323"/>
    </x:row>
    <x:row r="35">
      <x:c r="A35" s="323" t="str">
        <x:v>Аккредитованная IT — ОСНО 5%</x:v>
      </x:c>
      <x:c r="B35" s="329" t="n">
        <x:f>5%*MAX(B29-B75,0)</x:f>
        <x:v>0</x:v>
      </x:c>
      <x:c r="C35" s="329" t="n">
        <x:f>5%*MAX(C29-C75,0)</x:f>
        <x:v>2781066.184458444</x:v>
      </x:c>
      <x:c r="D35" s="329" t="n">
        <x:f>5%*MAX(D29-D75,0)</x:f>
        <x:v>8151164.136321886</x:v>
      </x:c>
      <x:c r="E35" s="329" t="n">
        <x:f>SUM(B35:D35)</x:f>
        <x:v>10932230.32078033</x:v>
      </x:c>
      <x:c r="F35" s="323" t="str">
        <x:v>После выполнения федеральных IT-условий</x:v>
      </x:c>
      <x:c r="G35" s="323"/>
      <x:c r="H35" s="323"/>
    </x:row>
    <x:row r="36">
      <x:c r="A36" s="323" t="str">
        <x:v>Сколково + УСН 6% (налог УСН сохраняется)</x:v>
      </x:c>
      <x:c r="B36" s="329" t="n">
        <x:f>MAX(0.5*6%*B26,6%*B26-B76)</x:f>
        <x:v>1999978.0209953252</x:v>
      </x:c>
      <x:c r="C36" s="329" t="n">
        <x:f>MAX(0.5*6%*C26,6%*C26-C76)</x:f>
        <x:v>4834225.17830845</x:v>
      </x:c>
      <x:c r="D36" s="329" t="n">
        <x:f>MAX(0.5*6%*D26,6%*D26-D76)</x:f>
        <x:v>11870827.375355024</x:v>
      </x:c>
      <x:c r="E36" s="329" t="n">
        <x:f>SUM(B36:D36)</x:f>
        <x:v>18705030.5746588</x:v>
      </x:c>
      <x:c r="F36" s="323" t="str">
        <x:v>Статус Сколково не обнуляет УСН; меняется прежде всего payroll regime</x:v>
      </x:c>
      <x:c r="G36" s="323"/>
      <x:c r="H36" s="323"/>
    </x:row>
    <x:row r="37">
      <x:c r="A37" s="323" t="str">
        <x:v>Сколково + ОСНО — освобождение прибыли</x:v>
      </x:c>
      <x:c r="B37" s="329" t="n">
        <x:f>0</x:f>
        <x:v>0</x:v>
      </x:c>
      <x:c r="C37" s="329" t="n">
        <x:f>0</x:f>
        <x:v>0</x:v>
      </x:c>
      <x:c r="D37" s="329" t="n">
        <x:f>0</x:f>
        <x:v>0</x:v>
      </x:c>
      <x:c r="E37" s="329" t="n">
        <x:f>SUM(B37:D37)</x:f>
        <x:v>0</x:v>
      </x:c>
      <x:c r="F37" s="323" t="str">
        <x:v>Только ОСНО + статус + уведомление; effective date моделируется отдельно</x:v>
      </x:c>
      <x:c r="G37" s="323"/>
      <x:c r="H37" s="323"/>
    </x:row>
    <x:row r="38">
      <x:c r="A38" s="323"/>
      <x:c r="B38" s="323"/>
      <x:c r="C38" s="323"/>
      <x:c r="D38" s="323"/>
      <x:c r="E38" s="323"/>
      <x:c r="F38" s="323"/>
      <x:c r="G38" s="323"/>
      <x:c r="H38" s="323"/>
    </x:row>
    <x:row r="39">
      <x:c r="A39" s="324" t="str">
        <x:v>НДС — контрольная модель</x:v>
      </x:c>
      <x:c r="B39" s="324"/>
      <x:c r="C39" s="324"/>
      <x:c r="D39" s="324"/>
      <x:c r="E39" s="324"/>
      <x:c r="F39" s="324"/>
      <x:c r="G39" s="324"/>
      <x:c r="H39" s="324"/>
    </x:row>
    <x:row r="40">
      <x:c r="A40" s="324" t="str">
        <x:v>Показатель</x:v>
      </x:c>
      <x:c r="B40" s="324" t="str">
        <x:v>Год 1</x:v>
      </x:c>
      <x:c r="C40" s="324" t="str">
        <x:v>Год 2</x:v>
      </x:c>
      <x:c r="D40" s="324" t="str">
        <x:v>Год 3</x:v>
      </x:c>
      <x:c r="E40" s="324" t="str">
        <x:v>Статус</x:v>
      </x:c>
      <x:c r="F40" s="324" t="str">
        <x:v>Источник</x:v>
      </x:c>
      <x:c r="G40" s="324" t="str">
        <x:v>Комментарий</x:v>
      </x:c>
      <x:c r="H40" s="334"/>
    </x:row>
    <x:row r="41">
      <x:c r="A41" s="323" t="str">
        <x:v>Порог доходов в текущем году для утраты освобождения от НДС, ₽</x:v>
      </x:c>
      <x:c r="B41" s="330" t="n">
        <x:v>20000000</x:v>
      </x:c>
      <x:c r="C41" s="330" t="n">
        <x:v>20000000</x:v>
      </x:c>
      <x:c r="D41" s="330" t="n">
        <x:v>20000000</x:v>
      </x:c>
      <x:c r="E41" s="323" t="str">
        <x:v>ФЗ №228-ФЗ от 04.07.2026 / ст.145 НК РФ</x:v>
      </x:c>
      <x:c r="F41" s="323" t="str">
        <x:v>https://www.consultant.ru/document/cons_doc_LAW_28165/8f399ec989074fdad875f9a672a1b091ea9bf05c/</x:v>
      </x:c>
      <x:c r="G41" s="323" t="str">
        <x:v>Для налоговых периодов 2027–2029 внутригoдовой порог = 20 млн ₽.</x:v>
      </x:c>
      <x:c r="H41" s="323"/>
    </x:row>
    <x:row r="42">
      <x:c r="A42" s="323" t="str">
        <x:v>Выручка выше внутригoдового порога?</x:v>
      </x:c>
      <x:c r="B42" s="331" t="n">
        <x:f>IF(B26&gt;B41,1,0)</x:f>
        <x:v>1</x:v>
      </x:c>
      <x:c r="C42" s="331" t="n">
        <x:f>IF(C26&gt;C41,1,0)</x:f>
        <x:v>1</x:v>
      </x:c>
      <x:c r="D42" s="331" t="n">
        <x:f>IF(D26&gt;D41,1,0)</x:f>
        <x:v>1</x:v>
      </x:c>
      <x:c r="E42" s="323" t="str">
        <x:v>Расчет</x:v>
      </x:c>
      <x:c r="F42" s="323"/>
      <x:c r="G42" s="323" t="str">
        <x:v>При превышении — обязанности по НДС с 1-го числа следующего месяца.</x:v>
      </x:c>
      <x:c r="H42" s="323"/>
    </x:row>
    <x:row r="43">
      <x:c r="A43" s="323" t="str">
        <x:v>Лицензионная выручка в Реестре ПО</x:v>
      </x:c>
      <x:c r="B43" s="329" t="n">
        <x:f>B27</x:f>
        <x:v>25415934.0331775</x:v>
      </x:c>
      <x:c r="C43" s="329" t="n">
        <x:f>C27</x:f>
        <x:v>101740839.27694832</x:v>
      </x:c>
      <x:c r="D43" s="329" t="n">
        <x:f>D27</x:f>
        <x:v>208258157.92258364</x:v>
      </x:c>
      <x:c r="E43" s="323" t="str">
        <x:v>Потенциальное освобождение</x:v>
      </x:c>
      <x:c r="F43" s="323" t="str"/>
      <x:c r="G43" s="323" t="str">
        <x:v>Требуется включение продукта и соблюдение ст.149 НК РФ</x:v>
      </x:c>
      <x:c r="H43" s="323"/>
    </x:row>
    <x:row r="44">
      <x:c r="A44" s="323" t="str">
        <x:v>Не-лицензионная выручка</x:v>
      </x:c>
      <x:c r="B44" s="329" t="n">
        <x:f>B28</x:f>
        <x:v>41250000.000000015</x:v>
      </x:c>
      <x:c r="C44" s="329" t="n">
        <x:f>C28</x:f>
        <x:v>59400000.000000015</x:v>
      </x:c>
      <x:c r="D44" s="329" t="n">
        <x:f>D28</x:f>
        <x:v>99000000.00000006</x:v>
      </x:c>
      <x:c r="E44" s="323" t="str">
        <x:v>Требует квалификации договора</x:v>
      </x:c>
      <x:c r="F44" s="323" t="str"/>
      <x:c r="G44" s="323" t="str">
        <x:v>Внедрение/адаптация/консалтинг анализируются отдельно</x:v>
      </x:c>
      <x:c r="H44" s="323"/>
    </x:row>
    <x:row r="45">
      <x:c r="A45" s="323" t="str">
        <x:v>Индикативный НДС 5% на не-лицензионную выручку</x:v>
      </x:c>
      <x:c r="B45" s="329" t="n">
        <x:f>B44*5%</x:f>
        <x:v>2062500.000000001</x:v>
      </x:c>
      <x:c r="C45" s="329" t="n">
        <x:f>C44*5%</x:f>
        <x:v>2970000.000000001</x:v>
      </x:c>
      <x:c r="D45" s="329" t="n">
        <x:f>D44*5%</x:f>
        <x:v>4950000.000000003</x:v>
      </x:c>
      <x:c r="E45" s="323" t="str">
        <x:v>Не включать автоматически в P&amp;L</x:v>
      </x:c>
      <x:c r="F45" s="323" t="str"/>
      <x:c r="G45" s="323" t="str">
        <x:v>Показывает exposure, если цена включает НДС и выбран спецтариф 5%</x:v>
      </x:c>
      <x:c r="H45" s="323"/>
    </x:row>
    <x:row r="46">
      <x:c r="A46" s="323" t="str">
        <x:v>Сколково — НДС</x:v>
      </x:c>
      <x:c r="B46" s="329" t="n">
        <x:v>0</x:v>
      </x:c>
      <x:c r="C46" s="329" t="n">
        <x:v>0</x:v>
      </x:c>
      <x:c r="D46" s="329" t="n">
        <x:v>0</x:v>
      </x:c>
      <x:c r="E46" s="323" t="str">
        <x:v>Освобождение при условиях</x:v>
      </x:c>
      <x:c r="F46" s="323" t="str">
        <x:v>https://sk.ru/tax-facilities/</x:v>
      </x:c>
      <x:c r="G46" s="323" t="str">
        <x:v>После уведомления ФНС и при сохранении права</x:v>
      </x:c>
      <x:c r="H46" s="323"/>
    </x:row>
    <x:row r="47">
      <x:c r="A47" s="323"/>
      <x:c r="B47" s="323"/>
      <x:c r="C47" s="323"/>
      <x:c r="D47" s="323"/>
      <x:c r="E47" s="323"/>
      <x:c r="F47" s="323"/>
      <x:c r="G47" s="323"/>
      <x:c r="H47" s="323"/>
    </x:row>
    <x:row r="48">
      <x:c r="A48" s="360" t="str">
        <x:v>Гранты и меры поддержки — попадают в Cash Flow только при вероятности &gt; 0</x:v>
      </x:c>
      <x:c r="B48" s="360"/>
      <x:c r="C48" s="360"/>
      <x:c r="D48" s="360"/>
      <x:c r="E48" s="360"/>
      <x:c r="F48" s="360"/>
      <x:c r="G48" s="360"/>
      <x:c r="H48" s="360"/>
      <x:c r="I48" s="363"/>
    </x:row>
    <x:row r="49">
      <x:c r="A49" s="324" t="str">
        <x:v>Инструмент</x:v>
      </x:c>
      <x:c r="B49" s="324" t="str">
        <x:v>Макс. сумма, ₽</x:v>
      </x:c>
      <x:c r="C49" s="324" t="str">
        <x:v>Плановый год</x:v>
      </x:c>
      <x:c r="D49" s="324" t="str">
        <x:v>Вероятность в модели</x:v>
      </x:c>
      <x:c r="E49" s="324" t="str">
        <x:v>Ожидаемое финансирование, ₽</x:v>
      </x:c>
      <x:c r="F49" s="324" t="str">
        <x:v>Условие / применение</x:v>
      </x:c>
      <x:c r="G49" s="324" t="str">
        <x:v>Источник</x:v>
      </x:c>
      <x:c r="H49" s="324" t="str">
        <x:v>Статус</x:v>
      </x:c>
      <x:c r="I49" s="378" t="str">
        <x:v>Месяц модели</x:v>
      </x:c>
      <x:c r="J49" s="398" t="str">
        <x:v>Eligibility gate</x:v>
      </x:c>
    </x:row>
    <x:row r="50">
      <x:c r="A50" s="323" t="str">
        <x:v>ФСИ «Старт-ЦТ»</x:v>
      </x:c>
      <x:c r="B50" s="330" t="n">
        <x:v>5000000</x:v>
      </x:c>
      <x:c r="C50" s="323" t="n">
        <x:v>2027</x:v>
      </x:c>
      <x:c r="D50" s="332" t="n">
        <x:v>0</x:v>
      </x:c>
      <x:c r="E50" s="329" t="n">
        <x:f>B50*D50</x:f>
        <x:v>0</x:v>
      </x:c>
      <x:c r="F50" s="323" t="str">
        <x:v>НИОКР до 12 мес.; до 5 млн ₽; без обязательного софинансирования; возрастной gate ≤3 лет</x:v>
      </x:c>
      <x:c r="G50" s="323" t="str">
        <x:v>https://fasie.ru/programs/programma-start/</x:v>
      </x:c>
      <x:c r="H50" s="323" t="str">
        <x:v>Кандидат</x:v>
      </x:c>
      <x:c r="I50" s="364" t="n">
        <x:v>10</x:v>
      </x:c>
      <x:c r="J50" t="str">
        <x:v>Физлицо либо ООО-МСП ≤3 лет на дату подачи; открытый подходящий отбор</x:v>
      </x:c>
    </x:row>
    <x:row r="51">
      <x:c r="A51" s="323" t="str">
        <x:v>ФСИ «Старт-ИИ»</x:v>
      </x:c>
      <x:c r="B51" s="330" t="n">
        <x:v>5000000</x:v>
      </x:c>
      <x:c r="C51" s="323" t="n">
        <x:v>2027</x:v>
      </x:c>
      <x:c r="D51" s="332" t="n">
        <x:v>0</x:v>
      </x:c>
      <x:c r="E51" s="329" t="n">
        <x:f>B51*D51</x:f>
        <x:v>0</x:v>
      </x:c>
      <x:c r="F51" s="323" t="str">
        <x:v>До 5 млн ₽; самостоятельный AI-R&amp;D; возрастной gate ≤2 лет</x:v>
      </x:c>
      <x:c r="G51" s="323" t="str">
        <x:v>https://fasie.ru/programs/programma-start/</x:v>
      </x:c>
      <x:c r="H51" s="323" t="str">
        <x:v>Альтернатива</x:v>
      </x:c>
      <x:c r="I51" s="364" t="n">
        <x:v>10</x:v>
      </x:c>
      <x:c r="J51" t="str">
        <x:v>Физлицо либо ООО-МСП ≤2 лет на дату подачи; открытый подходящий отбор</x:v>
      </x:c>
    </x:row>
    <x:row r="52">
      <x:c r="A52" s="323" t="str">
        <x:v>Сколково — микрогранты</x:v>
      </x:c>
      <x:c r="B52" s="330" t="n">
        <x:v>4000000</x:v>
      </x:c>
      <x:c r="C52" s="323" t="n">
        <x:v>2028</x:v>
      </x:c>
      <x:c r="D52" s="332" t="n">
        <x:v>0</x:v>
      </x:c>
      <x:c r="E52" s="329" t="n">
        <x:f>B52*D52</x:f>
        <x:v>0</x:v>
      </x:c>
      <x:c r="F52" s="323" t="str">
        <x:v>До 1,5 млн ₽ на заявку / до 4 млн ₽ в год; full access после МТК</x:v>
      </x:c>
      <x:c r="G52" s="323" t="str">
        <x:v>https://services.sk.ru/service/1</x:v>
      </x:c>
      <x:c r="H52" s="323" t="str">
        <x:v>После Сколково + МТК</x:v>
      </x:c>
      <x:c r="I52" s="364" t="n">
        <x:v>18</x:v>
      </x:c>
      <x:c r="J52" t="str">
        <x:v>Сколково + вид участника Стартап-МТК; для обычного Стартап — только услуга защиты ИС</x:v>
      </x:c>
    </x:row>
    <x:row r="53">
      <x:c r="A53" s="323" t="str">
        <x:v>ФСИ «Коммерциализация»</x:v>
      </x:c>
      <x:c r="B53" s="330" t="n">
        <x:v>30000000</x:v>
      </x:c>
      <x:c r="C53" s="323" t="n">
        <x:v>2028</x:v>
      </x:c>
      <x:c r="D53" s="332" t="n">
        <x:v>0</x:v>
      </x:c>
      <x:c r="E53" s="329" t="n">
        <x:f>B53*D53</x:f>
        <x:v>0</x:v>
      </x:c>
      <x:c r="F53" s="323" t="str">
        <x:v>До 30 млн ₽; опыт продаж; софинансирование ≥50%</x:v>
      </x:c>
      <x:c r="G53" s="323" t="str">
        <x:v>https://fasie.ru/programs/programma-kommertsializatsiya/</x:v>
      </x:c>
      <x:c r="H53" s="323" t="str">
        <x:v>Поздняя стадия</x:v>
      </x:c>
      <x:c r="I53" s="364" t="n">
        <x:v>22</x:v>
      </x:c>
      <x:c r="J53" t="str">
        <x:v>МСП; завершенный НИОКР; опыт продаж; софинансирование ≥50%; открытый отбор</x:v>
      </x:c>
    </x:row>
    <x:row r="54">
      <x:c r="A54" s="323" t="str">
        <x:v>Сколково — компенсация инвестиций бизнес-ангела</x:v>
      </x:c>
      <x:c r="B54" s="330" t="n">
        <x:v>20000000</x:v>
      </x:c>
      <x:c r="C54" s="323" t="n">
        <x:v>2028</x:v>
      </x:c>
      <x:c r="D54" s="332" t="n">
        <x:v>0</x:v>
      </x:c>
      <x:c r="E54" s="329" t="n">
        <x:f>B54*D54</x:f>
        <x:v>0</x:v>
      </x:c>
      <x:c r="F54" s="323" t="str">
        <x:v>До 20 млн ₽ компенсации инвестору при соблюдении условий программы</x:v>
      </x:c>
      <x:c r="G54" s="323" t="str">
        <x:v>https://sk.ru/grant-financial-support/investor-compensation/</x:v>
      </x:c>
      <x:c r="H54" s="323" t="str">
        <x:v>Проверять под раунд</x:v>
      </x:c>
      <x:c r="I54" s="364" t="n">
        <x:v>24</x:v>
      </x:c>
      <x:c r="J54" t="str">
        <x:v>Инвестируемая компания — участник Сколково-МТК; отдельные условия инвестора</x:v>
      </x:c>
    </x:row>
    <x:row r="55">
      <x:c r="A55" s="323"/>
      <x:c r="B55" s="323"/>
      <x:c r="C55" s="323"/>
      <x:c r="D55" s="323"/>
      <x:c r="E55" s="323"/>
      <x:c r="F55" s="323"/>
      <x:c r="G55" s="323"/>
      <x:c r="H55" s="323"/>
    </x:row>
    <x:row r="56">
      <x:c r="A56" s="324" t="str">
        <x:v>Что ещё нужно подтвердить перед переносом налогов в основной P&amp;L / Cash Flow</x:v>
      </x:c>
      <x:c r="B56" s="324"/>
      <x:c r="C56" s="324"/>
      <x:c r="D56" s="324"/>
      <x:c r="E56" s="324"/>
      <x:c r="F56" s="324"/>
      <x:c r="G56" s="324"/>
      <x:c r="H56" s="324"/>
    </x:row>
    <x:row r="57">
      <x:c r="A57" s="324" t="str">
        <x:v>Пункт</x:v>
      </x:c>
      <x:c r="B57" s="324" t="str">
        <x:v>Почему критично</x:v>
      </x:c>
      <x:c r="C57" s="324" t="str">
        <x:v>Текущий статус</x:v>
      </x:c>
      <x:c r="D57" s="324" t="str">
        <x:v>Действие</x:v>
      </x:c>
      <x:c r="E57" s="324" t="str">
        <x:v>Owner</x:v>
      </x:c>
      <x:c r="F57" s="324" t="str"/>
      <x:c r="G57" s="324" t="str"/>
      <x:c r="H57" s="324" t="str"/>
    </x:row>
    <x:row r="58">
      <x:c r="A58" s="323" t="str">
        <x:v>ФОТ: gross зарплата или полная стоимость работодателя</x:v>
      </x:c>
      <x:c r="B58" s="323" t="str">
        <x:v>Без этого нельзя корректно посчитать страховые взносы IT vs Сколково</x:v>
      </x:c>
      <x:c r="C58" s="323" t="str">
        <x:v>Не подтверждено</x:v>
      </x:c>
      <x:c r="D58" s="323" t="str">
        <x:v>Разделить зарплату, ГПХ/подрядчиков и employer contributions</x:v>
      </x:c>
      <x:c r="E58" s="323" t="str">
        <x:v>CFO / бухгалтер</x:v>
      </x:c>
      <x:c r="F58" s="323" t="str"/>
      <x:c r="G58" s="323" t="str"/>
      <x:c r="H58" s="323" t="str"/>
    </x:row>
    <x:row r="59">
      <x:c r="A59" s="323" t="str">
        <x:v>Q-SUCCESS: входит ли переменная часть в квалифицируемые IT-доходы</x:v>
      </x:c>
      <x:c r="B59" s="323" t="str">
        <x:v>Влияет на 70% и IT-льготы</x:v>
      </x:c>
      <x:c r="C59" s="323" t="str">
        <x:v>Нужно legal opinion</x:v>
      </x:c>
      <x:c r="D59" s="323" t="str">
        <x:v>Закрепить предмет и метод расчета в договоре</x:v>
      </x:c>
      <x:c r="E59" s="323" t="str">
        <x:v>Налоговый юрист</x:v>
      </x:c>
      <x:c r="F59" s="323" t="str"/>
      <x:c r="G59" s="323" t="str"/>
      <x:c r="H59" s="323" t="str"/>
    </x:row>
    <x:row r="60">
      <x:c r="A60" s="323" t="str">
        <x:v>НДС по внедрению/адаптации</x:v>
      </x:c>
      <x:c r="B60" s="323" t="str">
        <x:v>От договора зависит, является ли часть выручки облагаемой</x:v>
      </x:c>
      <x:c r="C60" s="323" t="str">
        <x:v>Не подтверждено</x:v>
      </x:c>
      <x:c r="D60" s="323" t="str">
        <x:v>Разнести License / Adaptation / Support / Success Fee</x:v>
      </x:c>
      <x:c r="E60" s="323" t="str">
        <x:v>Налоговый юрист</x:v>
      </x:c>
      <x:c r="F60" s="323" t="str"/>
      <x:c r="G60" s="323" t="str"/>
      <x:c r="H60" s="323" t="str"/>
    </x:row>
    <x:row r="61">
      <x:c r="A61" s="323" t="str">
        <x:v>Дата получения IT / Реестр ПО / Сколково</x:v>
      </x:c>
      <x:c r="B61" s="323" t="str">
        <x:v>Льготы начинают действовать не задним числом</x:v>
      </x:c>
      <x:c r="C61" s="323" t="str">
        <x:v>Roadmap</x:v>
      </x:c>
      <x:c r="D61" s="323" t="str">
        <x:v>После фактических дат переключить модель помесячно</x:v>
      </x:c>
      <x:c r="E61" s="323" t="str">
        <x:v>CEO / CFO</x:v>
      </x:c>
      <x:c r="F61" s="323" t="str"/>
      <x:c r="G61" s="323" t="str"/>
      <x:c r="H61" s="323" t="str"/>
    </x:row>
    <x:row r="62">
      <x:c r="A62" s="336" t="str">
        <x:v>Страховые взносы — смешанная модель команды</x:v>
      </x:c>
      <x:c r="B62" s="336"/>
      <x:c r="C62" s="336"/>
      <x:c r="D62" s="336"/>
      <x:c r="E62" s="336"/>
      <x:c r="F62" s="336"/>
      <x:c r="G62" s="336"/>
      <x:c r="H62" s="336"/>
    </x:row>
    <x:row r="64" ht="15" hidden="0" customHeight="1">
      <x:c r="A64" s="343" t="str">
        <x:v>Параметр</x:v>
      </x:c>
      <x:c r="B64" s="343" t="str">
        <x:v>Год 1</x:v>
      </x:c>
      <x:c r="C64" s="343" t="str">
        <x:v>Год 2</x:v>
      </x:c>
      <x:c r="D64" s="343" t="str">
        <x:v>Год 3</x:v>
      </x:c>
      <x:c r="E64" s="343" t="str">
        <x:v>Статус</x:v>
      </x:c>
      <x:c r="F64" s="343" t="str">
        <x:v>Источник / пояснение</x:v>
      </x:c>
      <x:c r="G64" s="343"/>
      <x:c r="H64" s="343"/>
    </x:row>
    <x:row r="65" ht="15" hidden="0" customHeight="1">
      <x:c r="A65" s="32" t="str">
        <x:v>Календарный год</x:v>
      </x:c>
      <x:c r="B65" s="251" t="n">
        <x:v>2027</x:v>
      </x:c>
      <x:c r="C65" s="251" t="n">
        <x:v>2028</x:v>
      </x:c>
      <x:c r="D65" s="251" t="n">
        <x:v>2029</x:v>
      </x:c>
      <x:c r="E65" s="32" t="str">
        <x:v>Из модели</x:v>
      </x:c>
      <x:c r="F65" s="32" t="str">
        <x:v>Год 1–3</x:v>
      </x:c>
      <x:c r="G65" s="32"/>
      <x:c r="H65" s="32"/>
    </x:row>
    <x:row r="66" ht="15" hidden="0" customHeight="1">
      <x:c r="A66" s="32" t="str">
        <x:v>Единая предельная база, ₽</x:v>
      </x:c>
      <x:c r="B66" s="351" t="n">
        <x:v>2979000</x:v>
      </x:c>
      <x:c r="C66" s="351" t="n">
        <x:v>2979000</x:v>
      </x:c>
      <x:c r="D66" s="351" t="n">
        <x:v>2979000</x:v>
      </x:c>
      <x:c r="E66" s="32" t="str">
        <x:v>INPUT: proxy 2026</x:v>
      </x:c>
      <x:c r="F66" s="32" t="str">
        <x:v>2027–2029 заменить после официального утверждения</x:v>
      </x:c>
      <x:c r="G66" s="32" t="str">
        <x:v>https://www.nalog.gov.ru/RN77/TAXATION/insprem/</x:v>
      </x:c>
      <x:c r="H66" s="32"/>
    </x:row>
    <x:row r="67" ht="26.399999618530273" hidden="0" customHeight="1">
      <x:c r="A67" s="32" t="str">
        <x:v>МРОТ, ₽ / мес.</x:v>
      </x:c>
      <x:c r="B67" s="351" t="n">
        <x:v>27093</x:v>
      </x:c>
      <x:c r="C67" s="351" t="n">
        <x:v>27093</x:v>
      </x:c>
      <x:c r="D67" s="351" t="n">
        <x:v>27093</x:v>
      </x:c>
      <x:c r="E67" s="32" t="str">
        <x:v>INPUT: proxy 2026</x:v>
      </x:c>
      <x:c r="F67" s="32" t="str">
        <x:v>Для расчета Сколково; 2027–2029 заменить после утверждения</x:v>
      </x:c>
      <x:c r="G67" s="32"/>
      <x:c r="H67" s="32"/>
    </x:row>
    <x:row r="68" ht="15" hidden="0" customHeight="1">
      <x:c r="A68" s="32" t="str">
        <x:v>IT тариф до предельной базы</x:v>
      </x:c>
      <x:c r="B68" s="352" t="n">
        <x:v>0.15</x:v>
      </x:c>
      <x:c r="C68" s="352" t="n">
        <x:v>0.15</x:v>
      </x:c>
      <x:c r="D68" s="352" t="n">
        <x:v>0.15</x:v>
      </x:c>
      <x:c r="E68" s="32" t="str">
        <x:v>Федеральный тариф</x:v>
      </x:c>
      <x:c r="F68" s="32" t="str">
        <x:v>15%</x:v>
      </x:c>
      <x:c r="G68" s="32" t="str">
        <x:v>https://www.nalog.gov.ru/new2026/</x:v>
      </x:c>
      <x:c r="H68" s="32"/>
    </x:row>
    <x:row r="69" ht="26.399999618530273" hidden="0" customHeight="1">
      <x:c r="A69" s="32" t="str">
        <x:v>IT тариф сверх предельной базы</x:v>
      </x:c>
      <x:c r="B69" s="352" t="n">
        <x:v>0.076</x:v>
      </x:c>
      <x:c r="C69" s="352" t="n">
        <x:v>0.076</x:v>
      </x:c>
      <x:c r="D69" s="352" t="n">
        <x:v>0.076</x:v>
      </x:c>
      <x:c r="E69" s="32" t="str">
        <x:v>Федеральный тариф</x:v>
      </x:c>
      <x:c r="F69" s="32" t="str">
        <x:v>7,6%</x:v>
      </x:c>
      <x:c r="G69" s="32" t="str">
        <x:v>https://www.consultant.ru/document/cons_doc_LAW_28165/c5c16c86f95c5db63601047b1c0a5942bd77c824/</x:v>
      </x:c>
      <x:c r="H69" s="32"/>
    </x:row>
    <x:row r="70" ht="15" hidden="0" customHeight="1">
      <x:c r="A70" s="32" t="str">
        <x:v>Сколково: множитель МРОТ</x:v>
      </x:c>
      <x:c r="B70" s="353" t="n">
        <x:v>1.5</x:v>
      </x:c>
      <x:c r="C70" s="353" t="n">
        <x:v>1.5</x:v>
      </x:c>
      <x:c r="D70" s="353" t="n">
        <x:v>1.5</x:v>
      </x:c>
      <x:c r="E70" s="32" t="str">
        <x:v>Расчетный параметр</x:v>
      </x:c>
      <x:c r="F70" s="32" t="str">
        <x:v>Порог 1,5 МРОТ</x:v>
      </x:c>
      <x:c r="G70" s="32"/>
      <x:c r="H70" s="32"/>
    </x:row>
    <x:row r="71" ht="15" hidden="0" customHeight="1">
      <x:c r="A71" s="32"/>
      <x:c r="B71" s="32"/>
      <x:c r="C71" s="32"/>
      <x:c r="D71" s="32"/>
      <x:c r="E71" s="32"/>
      <x:c r="F71" s="32"/>
      <x:c r="G71" s="32"/>
      <x:c r="H71" s="32"/>
    </x:row>
    <x:row r="72" ht="15" hidden="0" customHeight="1">
      <x:c r="A72" s="343" t="str">
        <x:v>Показатель</x:v>
      </x:c>
      <x:c r="B72" s="343" t="str">
        <x:v>Год 1</x:v>
      </x:c>
      <x:c r="C72" s="343" t="str">
        <x:v>Год 2</x:v>
      </x:c>
      <x:c r="D72" s="343" t="str">
        <x:v>Год 3</x:v>
      </x:c>
      <x:c r="E72" s="343" t="str">
        <x:v>3 года</x:v>
      </x:c>
      <x:c r="F72" s="343" t="str">
        <x:v>Комментарий</x:v>
      </x:c>
      <x:c r="G72" s="343"/>
      <x:c r="H72" s="343"/>
    </x:row>
    <x:row r="73" ht="15" hidden="0" customHeight="1">
      <x:c r="A73" s="32" t="str">
        <x:v>Gross ФОТ штатных ролей, ₽</x:v>
      </x:c>
      <x:c r="B73" s="309" t="n">
        <x:f>IF('Команда'!$G$4="Штат",'Команда'!$B$4*'Команда'!$I$4,0)+IF('Команда'!$G$5="Штат",'Команда'!$B$5*'Команда'!$I$5,0)+IF('Команда'!$G$6="Штат",'Команда'!$B$6*'Команда'!$I$6,0)+IF('Команда'!$G$7="Штат",'Команда'!$B$7*'Команда'!$I$7,0)+IF('Команда'!$G$8="Штат",'Команда'!$B$8*'Команда'!$I$8,0)+IF('Команда'!$G$9="Штат",'Команда'!$B$9*'Команда'!$I$9,0)+IF('Команда'!$G$10="Штат",'Команда'!$B$10*'Команда'!$I$10,0)+IF('Команда'!$G$11="Штат",'Команда'!$B$11*'Команда'!$I$11,0)+IF('Команда'!$G$12="Штат",'Команда'!$B$12*'Команда'!$I$12,0)+IF('Команда'!$G$13="Штат",'Команда'!$B$13*'Команда'!$I$13,0)+IF('Команда'!$G$14="Штат",'Команда'!$B$14*'Команда'!$I$14,0)+IF('Команда'!$G$15="Штат",'Команда'!$B$15*'Команда'!$I$15,0)+IF('Команда'!$G$16="Штат",'Команда'!$B$16*'Команда'!$I$16,0)</x:f>
        <x:v>32100000</x:v>
      </x:c>
      <x:c r="C73" s="309" t="n">
        <x:f>IF('Команда'!$G$4="Штат",'Команда'!$B$4*'Команда'!$J$4,0)+IF('Команда'!$G$5="Штат",'Команда'!$B$5*'Команда'!$J$5,0)+IF('Команда'!$G$6="Штат",'Команда'!$B$6*'Команда'!$J$6,0)+IF('Команда'!$G$7="Штат",'Команда'!$B$7*'Команда'!$J$7,0)+IF('Команда'!$G$8="Штат",'Команда'!$B$8*'Команда'!$J$8,0)+IF('Команда'!$G$9="Штат",'Команда'!$B$9*'Команда'!$J$9,0)+IF('Команда'!$G$10="Штат",'Команда'!$B$10*'Команда'!$J$10,0)+IF('Команда'!$G$11="Штат",'Команда'!$B$11*'Команда'!$J$11,0)+IF('Команда'!$G$12="Штат",'Команда'!$B$12*'Команда'!$J$12,0)+IF('Команда'!$G$13="Штат",'Команда'!$B$13*'Команда'!$J$13,0)+IF('Команда'!$G$14="Штат",'Команда'!$B$14*'Команда'!$J$14,0)+IF('Команда'!$G$15="Штат",'Команда'!$B$15*'Команда'!$J$15,0)+IF('Команда'!$G$16="Штат",'Команда'!$B$16*'Команда'!$J$16,0)</x:f>
        <x:v>38400000</x:v>
      </x:c>
      <x:c r="D73" s="309" t="n">
        <x:f>IF('Команда'!$G$4="Штат",'Команда'!$B$4*'Команда'!$K$4,0)+IF('Команда'!$G$5="Штат",'Команда'!$B$5*'Команда'!$K$5,0)+IF('Команда'!$G$6="Штат",'Команда'!$B$6*'Команда'!$K$6,0)+IF('Команда'!$G$7="Штат",'Команда'!$B$7*'Команда'!$K$7,0)+IF('Команда'!$G$8="Штат",'Команда'!$B$8*'Команда'!$K$8,0)+IF('Команда'!$G$9="Штат",'Команда'!$B$9*'Команда'!$K$9,0)+IF('Команда'!$G$10="Штат",'Команда'!$B$10*'Команда'!$K$10,0)+IF('Команда'!$G$11="Штат",'Команда'!$B$11*'Команда'!$K$11,0)+IF('Команда'!$G$12="Штат",'Команда'!$B$12*'Команда'!$K$12,0)+IF('Команда'!$G$13="Штат",'Команда'!$B$13*'Команда'!$K$13,0)+IF('Команда'!$G$14="Штат",'Команда'!$B$14*'Команда'!$K$14,0)+IF('Команда'!$G$15="Штат",'Команда'!$B$15*'Команда'!$K$15,0)+IF('Команда'!$G$16="Штат",'Команда'!$B$16*'Команда'!$K$16,0)</x:f>
        <x:v>38400000</x:v>
      </x:c>
      <x:c r="E73" s="309" t="n">
        <x:f>SUM(B73:D73)</x:f>
        <x:v>108900000</x:v>
      </x:c>
      <x:c r="F73" s="32" t="str">
        <x:v>Рассчитывается по типу занятости на листе «Команда»</x:v>
      </x:c>
      <x:c r="G73" s="32"/>
      <x:c r="H73" s="32"/>
    </x:row>
    <x:row r="74" ht="26.399999618530273" hidden="0" customHeight="1">
      <x:c r="A74" s="32" t="str">
        <x:v>Подрядчики / внешние исполнители, ₽</x:v>
      </x:c>
      <x:c r="B74" s="309" t="n">
        <x:f>IF('Команда'!$G$4="Подрядчик",'Команда'!$B$4*'Команда'!$I$4,0)+IF('Команда'!$G$5="Подрядчик",'Команда'!$B$5*'Команда'!$I$5,0)+IF('Команда'!$G$6="Подрядчик",'Команда'!$B$6*'Команда'!$I$6,0)+IF('Команда'!$G$7="Подрядчик",'Команда'!$B$7*'Команда'!$I$7,0)+IF('Команда'!$G$8="Подрядчик",'Команда'!$B$8*'Команда'!$I$8,0)+IF('Команда'!$G$9="Подрядчик",'Команда'!$B$9*'Команда'!$I$9,0)+IF('Команда'!$G$10="Подрядчик",'Команда'!$B$10*'Команда'!$I$10,0)+IF('Команда'!$G$11="Подрядчик",'Команда'!$B$11*'Команда'!$I$11,0)+IF('Команда'!$G$12="Подрядчик",'Команда'!$B$12*'Команда'!$I$12,0)+IF('Команда'!$G$13="Подрядчик",'Команда'!$B$13*'Команда'!$I$13,0)+IF('Команда'!$G$14="Подрядчик",'Команда'!$B$14*'Команда'!$I$14,0)+IF('Команда'!$G$15="Подрядчик",'Команда'!$B$15*'Команда'!$I$15,0)+IF('Команда'!$G$16="Подрядчик",'Команда'!$B$16*'Команда'!$I$16,0)</x:f>
        <x:v>3000000</x:v>
      </x:c>
      <x:c r="C74" s="309" t="n">
        <x:f>IF('Команда'!$G$4="Подрядчик",'Команда'!$B$4*'Команда'!$J$4,0)+IF('Команда'!$G$5="Подрядчик",'Команда'!$B$5*'Команда'!$J$5,0)+IF('Команда'!$G$6="Подрядчик",'Команда'!$B$6*'Команда'!$J$6,0)+IF('Команда'!$G$7="Подрядчик",'Команда'!$B$7*'Команда'!$J$7,0)+IF('Команда'!$G$8="Подрядчик",'Команда'!$B$8*'Команда'!$J$8,0)+IF('Команда'!$G$9="Подрядчик",'Команда'!$B$9*'Команда'!$J$9,0)+IF('Команда'!$G$10="Подрядчик",'Команда'!$B$10*'Команда'!$J$10,0)+IF('Команда'!$G$11="Подрядчик",'Команда'!$B$11*'Команда'!$J$11,0)+IF('Команда'!$G$12="Подрядчик",'Команда'!$B$12*'Команда'!$J$12,0)+IF('Команда'!$G$13="Подрядчик",'Команда'!$B$13*'Команда'!$J$13,0)+IF('Команда'!$G$14="Подрядчик",'Команда'!$B$14*'Команда'!$J$14,0)+IF('Команда'!$G$15="Подрядчик",'Команда'!$B$15*'Команда'!$J$15,0)+IF('Команда'!$G$16="Подрядчик",'Команда'!$B$16*'Команда'!$J$16,0)</x:f>
        <x:v>1200000</x:v>
      </x:c>
      <x:c r="D74" s="309" t="n">
        <x:f>IF('Команда'!$G$4="Подрядчик",'Команда'!$B$4*'Команда'!$K$4,0)+IF('Команда'!$G$5="Подрядчик",'Команда'!$B$5*'Команда'!$K$5,0)+IF('Команда'!$G$6="Подрядчик",'Команда'!$B$6*'Команда'!$K$6,0)+IF('Команда'!$G$7="Подрядчик",'Команда'!$B$7*'Команда'!$K$7,0)+IF('Команда'!$G$8="Подрядчик",'Команда'!$B$8*'Команда'!$K$8,0)+IF('Команда'!$G$9="Подрядчик",'Команда'!$B$9*'Команда'!$K$9,0)+IF('Команда'!$G$10="Подрядчик",'Команда'!$B$10*'Команда'!$K$10,0)+IF('Команда'!$G$11="Подрядчик",'Команда'!$B$11*'Команда'!$K$11,0)+IF('Команда'!$G$12="Подрядчик",'Команда'!$B$12*'Команда'!$K$12,0)+IF('Команда'!$G$13="Подрядчик",'Команда'!$B$13*'Команда'!$K$13,0)+IF('Команда'!$G$14="Подрядчик",'Команда'!$B$14*'Команда'!$K$14,0)+IF('Команда'!$G$15="Подрядчик",'Команда'!$B$15*'Команда'!$K$15,0)+IF('Команда'!$G$16="Подрядчик",'Команда'!$B$16*'Команда'!$K$16,0)</x:f>
        <x:v>1200000</x:v>
      </x:c>
      <x:c r="E74" s="309" t="n">
        <x:f>SUM(B74:D74)</x:f>
        <x:v>5400000</x:v>
      </x:c>
      <x:c r="F74" s="32" t="str">
        <x:v>Не включается в базу страховых взносов по данной модели</x:v>
      </x:c>
      <x:c r="G74" s="32"/>
      <x:c r="H74" s="32"/>
    </x:row>
    <x:row r="75" ht="26.399999618530273" hidden="0" customHeight="1">
      <x:c r="A75" s="32" t="str">
        <x:v>Страховые взносы — IT режим, ₽</x:v>
      </x:c>
      <x:c r="B75" s="309" t="n">
        <x:f>IF(('Команда'!$G$4="Штат"),MIN(('Команда'!$B$4*'Команда'!$I$4),$B66)*$B68+MAX(('Команда'!$B$4*'Команда'!$I$4)-$B66,0)*$B69,0)+IF(('Команда'!$G$5="Штат"),MIN(('Команда'!$B$5*'Команда'!$I$5),$B66)*$B68+MAX(('Команда'!$B$5*'Команда'!$I$5)-$B66,0)*$B69,0)+IF(('Команда'!$G$6="Штат"),MIN(('Команда'!$B$6*'Команда'!$I$6),$B66)*$B68+MAX(('Команда'!$B$6*'Команда'!$I$6)-$B66,0)*$B69,0)+IF(('Команда'!$G$7="Штат"),MIN(('Команда'!$B$7*'Команда'!$I$7),$B66)*$B68+MAX(('Команда'!$B$7*'Команда'!$I$7)-$B66,0)*$B69,0)+IF(('Команда'!$G$8="Штат"),MIN(('Команда'!$B$8*'Команда'!$I$8),$B66)*$B68+MAX(('Команда'!$B$8*'Команда'!$I$8)-$B66,0)*$B69,0)+IF(('Команда'!$G$9="Штат"),MIN(('Команда'!$B$9*'Команда'!$I$9),$B66)*$B68+MAX(('Команда'!$B$9*'Команда'!$I$9)-$B66,0)*$B69,0)+IF(('Команда'!$G$10="Штат"),MIN(('Команда'!$B$10*'Команда'!$I$10),$B66)*$B68+MAX(('Команда'!$B$10*'Команда'!$I$10)-$B66,0)*$B69,0)+IF(('Команда'!$G$11="Штат"),MIN(('Команда'!$B$11*'Команда'!$I$11),$B66)*$B68+MAX(('Команда'!$B$11*'Команда'!$I$11)-$B66,0)*$B69,0)+IF(('Команда'!$G$12="Штат"),MIN(('Команда'!$B$12*'Команда'!$I$12),$B66)*$B68+MAX(('Команда'!$B$12*'Команда'!$I$12)-$B66,0)*$B69,0)+IF(('Команда'!$G$13="Штат"),MIN(('Команда'!$B$13*'Команда'!$I$13),$B66)*$B68+MAX(('Команда'!$B$13*'Команда'!$I$13)-$B66,0)*$B69,0)+IF(('Команда'!$G$14="Штат"),MIN(('Команда'!$B$14*'Команда'!$I$14),$B66)*$B68+MAX(('Команда'!$B$14*'Команда'!$I$14)-$B66,0)*$B69,0)+IF(('Команда'!$G$15="Штат"),MIN(('Команда'!$B$15*'Команда'!$I$15),$B66)*$B68+MAX(('Команда'!$B$15*'Команда'!$I$15)-$B66,0)*$B69,0)+IF(('Команда'!$G$16="Штат"),MIN(('Команда'!$B$16*'Команда'!$I$16),$B66)*$B68+MAX(('Команда'!$B$16*'Команда'!$I$16)-$B66,0)*$B69,0)</x:f>
        <x:v>4406076</x:v>
      </x:c>
      <x:c r="C75" s="309" t="n">
        <x:f>IF(('Команда'!$G$4="Штат"),MIN(('Команда'!$B$4*'Команда'!$J$4),$C66)*$C68+MAX(('Команда'!$B$4*'Команда'!$J$4)-$C66,0)*$C69,0)+IF(('Команда'!$G$5="Штат"),MIN(('Команда'!$B$5*'Команда'!$J$5),$C66)*$C68+MAX(('Команда'!$B$5*'Команда'!$J$5)-$C66,0)*$C69,0)+IF(('Команда'!$G$6="Штат"),MIN(('Команда'!$B$6*'Команда'!$J$6),$C66)*$C68+MAX(('Команда'!$B$6*'Команда'!$J$6)-$C66,0)*$C69,0)+IF(('Команда'!$G$7="Штат"),MIN(('Команда'!$B$7*'Команда'!$J$7),$C66)*$C68+MAX(('Команда'!$B$7*'Команда'!$J$7)-$C66,0)*$C69,0)+IF(('Команда'!$G$8="Штат"),MIN(('Команда'!$B$8*'Команда'!$J$8),$C66)*$C68+MAX(('Команда'!$B$8*'Команда'!$J$8)-$C66,0)*$C69,0)+IF(('Команда'!$G$9="Штат"),MIN(('Команда'!$B$9*'Команда'!$J$9),$C66)*$C68+MAX(('Команда'!$B$9*'Команда'!$J$9)-$C66,0)*$C69,0)+IF(('Команда'!$G$10="Штат"),MIN(('Команда'!$B$10*'Команда'!$J$10),$C66)*$C68+MAX(('Команда'!$B$10*'Команда'!$J$10)-$C66,0)*$C69,0)+IF(('Команда'!$G$11="Штат"),MIN(('Команда'!$B$11*'Команда'!$J$11),$C66)*$C68+MAX(('Команда'!$B$11*'Команда'!$J$11)-$C66,0)*$C69,0)+IF(('Команда'!$G$12="Штат"),MIN(('Команда'!$B$12*'Команда'!$J$12),$C66)*$C68+MAX(('Команда'!$B$12*'Команда'!$J$12)-$C66,0)*$C69,0)+IF(('Команда'!$G$13="Штат"),MIN(('Команда'!$B$13*'Команда'!$J$13),$C66)*$C68+MAX(('Команда'!$B$13*'Команда'!$J$13)-$C66,0)*$C69,0)+IF(('Команда'!$G$14="Штат"),MIN(('Команда'!$B$14*'Команда'!$J$14),$C66)*$C68+MAX(('Команда'!$B$14*'Команда'!$J$14)-$C66,0)*$C69,0)+IF(('Команда'!$G$15="Штат"),MIN(('Команда'!$B$15*'Команда'!$J$15),$C66)*$C68+MAX(('Команда'!$B$15*'Команда'!$J$15)-$C66,0)*$C69,0)+IF(('Команда'!$G$16="Штат"),MIN(('Команда'!$B$16*'Команда'!$J$16),$C66)*$C68+MAX(('Команда'!$B$16*'Команда'!$J$16)-$C66,0)*$C69,0)</x:f>
        <x:v>5257614</x:v>
      </x:c>
      <x:c r="D75" s="309" t="n">
        <x:f>IF(('Команда'!$G$4="Штат"),MIN(('Команда'!$B$4*'Команда'!$K$4),$D66)*$D68+MAX(('Команда'!$B$4*'Команда'!$K$4)-$D66,0)*$D69,0)+IF(('Команда'!$G$5="Штат"),MIN(('Команда'!$B$5*'Команда'!$K$5),$D66)*$D68+MAX(('Команда'!$B$5*'Команда'!$K$5)-$D66,0)*$D69,0)+IF(('Команда'!$G$6="Штат"),MIN(('Команда'!$B$6*'Команда'!$K$6),$D66)*$D68+MAX(('Команда'!$B$6*'Команда'!$K$6)-$D66,0)*$D69,0)+IF(('Команда'!$G$7="Штат"),MIN(('Команда'!$B$7*'Команда'!$K$7),$D66)*$D68+MAX(('Команда'!$B$7*'Команда'!$K$7)-$D66,0)*$D69,0)+IF(('Команда'!$G$8="Штат"),MIN(('Команда'!$B$8*'Команда'!$K$8),$D66)*$D68+MAX(('Команда'!$B$8*'Команда'!$K$8)-$D66,0)*$D69,0)+IF(('Команда'!$G$9="Штат"),MIN(('Команда'!$B$9*'Команда'!$K$9),$D66)*$D68+MAX(('Команда'!$B$9*'Команда'!$K$9)-$D66,0)*$D69,0)+IF(('Команда'!$G$10="Штат"),MIN(('Команда'!$B$10*'Команда'!$K$10),$D66)*$D68+MAX(('Команда'!$B$10*'Команда'!$K$10)-$D66,0)*$D69,0)+IF(('Команда'!$G$11="Штат"),MIN(('Команда'!$B$11*'Команда'!$K$11),$D66)*$D68+MAX(('Команда'!$B$11*'Команда'!$K$11)-$D66,0)*$D69,0)+IF(('Команда'!$G$12="Штат"),MIN(('Команда'!$B$12*'Команда'!$K$12),$D66)*$D68+MAX(('Команда'!$B$12*'Команда'!$K$12)-$D66,0)*$D69,0)+IF(('Команда'!$G$13="Штат"),MIN(('Команда'!$B$13*'Команда'!$K$13),$D66)*$D68+MAX(('Команда'!$B$13*'Команда'!$K$13)-$D66,0)*$D69,0)+IF(('Команда'!$G$14="Штат"),MIN(('Команда'!$B$14*'Команда'!$K$14),$D66)*$D68+MAX(('Команда'!$B$14*'Команда'!$K$14)-$D66,0)*$D69,0)+IF(('Команда'!$G$15="Штат"),MIN(('Команда'!$B$15*'Команда'!$K$15),$D66)*$D68+MAX(('Команда'!$B$15*'Команда'!$K$15)-$D66,0)*$D69,0)+IF(('Команда'!$G$16="Штат"),MIN(('Команда'!$B$16*'Команда'!$K$16),$D66)*$D68+MAX(('Команда'!$B$16*'Команда'!$K$16)-$D66,0)*$D69,0)</x:f>
        <x:v>5257614</x:v>
      </x:c>
      <x:c r="E75" s="309" t="n">
        <x:f>SUM(B75:D75)</x:f>
        <x:v>14921304</x:v>
      </x:c>
      <x:c r="F75" s="32" t="str">
        <x:v>15% до единой предельной базы + 7,6% сверх; cap считается по каждому сотруднику</x:v>
      </x:c>
      <x:c r="G75" s="32"/>
      <x:c r="H75" s="32"/>
    </x:row>
    <x:row r="76" ht="26.399999618530273" hidden="0" customHeight="1">
      <x:c r="A76" s="32" t="str">
        <x:v>Страховые взносы — Сколково, ₽</x:v>
      </x:c>
      <x:c r="B76" s="309" t="n">
        <x:f>IF(('Команда'!$G$4="Штат"),(MIN('Команда'!$B$4,1.5*$B67)*30%+MAX('Команда'!$B$4-1.5*$B67,0)*15%)*'Команда'!$I$4,0)+IF(('Команда'!$G$5="Штат"),(MIN('Команда'!$B$5,1.5*$B67)*30%+MAX('Команда'!$B$5-1.5*$B67,0)*15%)*'Команда'!$I$5,0)+IF(('Команда'!$G$6="Штат"),(MIN('Команда'!$B$6,1.5*$B67)*30%+MAX('Команда'!$B$6-1.5*$B67,0)*15%)*'Команда'!$I$6,0)+IF(('Команда'!$G$7="Штат"),(MIN('Команда'!$B$7,1.5*$B67)*30%+MAX('Команда'!$B$7-1.5*$B67,0)*15%)*'Команда'!$I$7,0)+IF(('Команда'!$G$8="Штат"),(MIN('Команда'!$B$8,1.5*$B67)*30%+MAX('Команда'!$B$8-1.5*$B67,0)*15%)*'Команда'!$I$8,0)+IF(('Команда'!$G$9="Штат"),(MIN('Команда'!$B$9,1.5*$B67)*30%+MAX('Команда'!$B$9-1.5*$B67,0)*15%)*'Команда'!$I$9,0)+IF(('Команда'!$G$10="Штат"),(MIN('Команда'!$B$10,1.5*$B67)*30%+MAX('Команда'!$B$10-1.5*$B67,0)*15%)*'Команда'!$I$10,0)+IF(('Команда'!$G$11="Штат"),(MIN('Команда'!$B$11,1.5*$B67)*30%+MAX('Команда'!$B$11-1.5*$B67,0)*15%)*'Команда'!$I$11,0)+IF(('Команда'!$G$12="Штат"),(MIN('Команда'!$B$12,1.5*$B67)*30%+MAX('Команда'!$B$12-1.5*$B67,0)*15%)*'Команда'!$I$12,0)+IF(('Команда'!$G$13="Штат"),(MIN('Команда'!$B$13,1.5*$B67)*30%+MAX('Команда'!$B$13-1.5*$B67,0)*15%)*'Команда'!$I$13,0)+IF(('Команда'!$G$14="Штат"),(MIN('Команда'!$B$14,1.5*$B67)*30%+MAX('Команда'!$B$14-1.5*$B67,0)*15%)*'Команда'!$I$14,0)+IF(('Команда'!$G$15="Штат"),(MIN('Команда'!$B$15,1.5*$B67)*30%+MAX('Команда'!$B$15-1.5*$B67,0)*15%)*'Команда'!$I$15,0)+IF(('Команда'!$G$16="Штат"),(MIN('Команда'!$B$16,1.5*$B67)*30%+MAX('Команда'!$B$16-1.5*$B67,0)*15%)*'Команда'!$I$16,0)</x:f>
        <x:v>5473359.9</x:v>
      </x:c>
      <x:c r="C76" s="309" t="n">
        <x:f>IF(('Команда'!$G$4="Штат"),(MIN('Команда'!$B$4,1.5*$C67)*30%+MAX('Команда'!$B$4-1.5*$C67,0)*15%)*'Команда'!$J$4,0)+IF(('Команда'!$G$5="Штат"),(MIN('Команда'!$B$5,1.5*$C67)*30%+MAX('Команда'!$B$5-1.5*$C67,0)*15%)*'Команда'!$J$5,0)+IF(('Команда'!$G$6="Штат"),(MIN('Команда'!$B$6,1.5*$C67)*30%+MAX('Команда'!$B$6-1.5*$C67,0)*15%)*'Команда'!$J$6,0)+IF(('Команда'!$G$7="Штат"),(MIN('Команда'!$B$7,1.5*$C67)*30%+MAX('Команда'!$B$7-1.5*$C67,0)*15%)*'Команда'!$J$7,0)+IF(('Команда'!$G$8="Штат"),(MIN('Команда'!$B$8,1.5*$C67)*30%+MAX('Команда'!$B$8-1.5*$C67,0)*15%)*'Команда'!$J$8,0)+IF(('Команда'!$G$9="Штат"),(MIN('Команда'!$B$9,1.5*$C67)*30%+MAX('Команда'!$B$9-1.5*$C67,0)*15%)*'Команда'!$J$9,0)+IF(('Команда'!$G$10="Штат"),(MIN('Команда'!$B$10,1.5*$C67)*30%+MAX('Команда'!$B$10-1.5*$C67,0)*15%)*'Команда'!$J$10,0)+IF(('Команда'!$G$11="Штат"),(MIN('Команда'!$B$11,1.5*$C67)*30%+MAX('Команда'!$B$11-1.5*$C67,0)*15%)*'Команда'!$J$11,0)+IF(('Команда'!$G$12="Штат"),(MIN('Команда'!$B$12,1.5*$C67)*30%+MAX('Команда'!$B$12-1.5*$C67,0)*15%)*'Команда'!$J$12,0)+IF(('Команда'!$G$13="Штат"),(MIN('Команда'!$B$13,1.5*$C67)*30%+MAX('Команда'!$B$13-1.5*$C67,0)*15%)*'Команда'!$J$13,0)+IF(('Команда'!$G$14="Штат"),(MIN('Команда'!$B$14,1.5*$C67)*30%+MAX('Команда'!$B$14-1.5*$C67,0)*15%)*'Команда'!$J$14,0)+IF(('Команда'!$G$15="Штат"),(MIN('Команда'!$B$15,1.5*$C67)*30%+MAX('Команда'!$B$15-1.5*$C67,0)*15%)*'Команда'!$J$15,0)+IF(('Команда'!$G$16="Штат"),(MIN('Команда'!$B$16,1.5*$C67)*30%+MAX('Команда'!$B$16-1.5*$C67,0)*15%)*'Команда'!$J$16,0)</x:f>
        <x:v>6564662.099999999</x:v>
      </x:c>
      <x:c r="D76" s="309" t="n">
        <x:f>IF(('Команда'!$G$4="Штат"),(MIN('Команда'!$B$4,1.5*$D67)*30%+MAX('Команда'!$B$4-1.5*$D67,0)*15%)*'Команда'!$K$4,0)+IF(('Команда'!$G$5="Штат"),(MIN('Команда'!$B$5,1.5*$D67)*30%+MAX('Команда'!$B$5-1.5*$D67,0)*15%)*'Команда'!$K$5,0)+IF(('Команда'!$G$6="Штат"),(MIN('Команда'!$B$6,1.5*$D67)*30%+MAX('Команда'!$B$6-1.5*$D67,0)*15%)*'Команда'!$K$6,0)+IF(('Команда'!$G$7="Штат"),(MIN('Команда'!$B$7,1.5*$D67)*30%+MAX('Команда'!$B$7-1.5*$D67,0)*15%)*'Команда'!$K$7,0)+IF(('Команда'!$G$8="Штат"),(MIN('Команда'!$B$8,1.5*$D67)*30%+MAX('Команда'!$B$8-1.5*$D67,0)*15%)*'Команда'!$K$8,0)+IF(('Команда'!$G$9="Штат"),(MIN('Команда'!$B$9,1.5*$D67)*30%+MAX('Команда'!$B$9-1.5*$D67,0)*15%)*'Команда'!$K$9,0)+IF(('Команда'!$G$10="Штат"),(MIN('Команда'!$B$10,1.5*$D67)*30%+MAX('Команда'!$B$10-1.5*$D67,0)*15%)*'Команда'!$K$10,0)+IF(('Команда'!$G$11="Штат"),(MIN('Команда'!$B$11,1.5*$D67)*30%+MAX('Команда'!$B$11-1.5*$D67,0)*15%)*'Команда'!$K$11,0)+IF(('Команда'!$G$12="Штат"),(MIN('Команда'!$B$12,1.5*$D67)*30%+MAX('Команда'!$B$12-1.5*$D67,0)*15%)*'Команда'!$K$12,0)+IF(('Команда'!$G$13="Штат"),(MIN('Команда'!$B$13,1.5*$D67)*30%+MAX('Команда'!$B$13-1.5*$D67,0)*15%)*'Команда'!$K$13,0)+IF(('Команда'!$G$14="Штат"),(MIN('Команда'!$B$14,1.5*$D67)*30%+MAX('Команда'!$B$14-1.5*$D67,0)*15%)*'Команда'!$K$14,0)+IF(('Команда'!$G$15="Штат"),(MIN('Команда'!$B$15,1.5*$D67)*30%+MAX('Команда'!$B$15-1.5*$D67,0)*15%)*'Команда'!$K$15,0)+IF(('Команда'!$G$16="Штат"),(MIN('Команда'!$B$16,1.5*$D67)*30%+MAX('Команда'!$B$16-1.5*$D67,0)*15%)*'Команда'!$K$16,0)</x:f>
        <x:v>6564662.099999999</x:v>
      </x:c>
      <x:c r="E76" s="309" t="n">
        <x:f>SUM(B76:D76)</x:f>
        <x:v>18602684.099999998</x:v>
      </x:c>
      <x:c r="F76" s="32" t="str">
        <x:v>30% до 1,5 МРОТ + 15% сверх; расчет по каждой штатной роли</x:v>
      </x:c>
      <x:c r="G76" s="32" t="str">
        <x:v>https://sk.ru/tax-facilities/</x:v>
      </x:c>
      <x:c r="H76" s="32"/>
    </x:row>
    <x:row r="77" ht="26.399999618530273" hidden="0" customHeight="1">
      <x:c r="A77" s="32" t="str">
        <x:v>Доплата Сколково vs IT, ₽</x:v>
      </x:c>
      <x:c r="B77" s="309" t="n">
        <x:f>B76-B75</x:f>
        <x:v>1067283.9000000004</x:v>
      </x:c>
      <x:c r="C77" s="309" t="n">
        <x:f>C76-C75</x:f>
        <x:v>1307048.0999999987</x:v>
      </x:c>
      <x:c r="D77" s="309" t="n">
        <x:f>D76-D75</x:f>
        <x:v>1307048.0999999987</x:v>
      </x:c>
      <x:c r="E77" s="309" t="n">
        <x:f>SUM(B77:D77)</x:f>
        <x:v>3681380.0999999978</x:v>
      </x:c>
      <x:c r="F77" s="32" t="str">
        <x:v>Положительное значение = Сколково дороже по взносам</x:v>
      </x:c>
      <x:c r="G77" s="32"/>
      <x:c r="H77" s="32"/>
    </x:row>
    <x:row r="78" ht="15" hidden="0" customHeight="1">
      <x:c r="A78" s="32"/>
      <x:c r="B78" s="32"/>
      <x:c r="C78" s="32"/>
      <x:c r="D78" s="32"/>
      <x:c r="E78" s="32"/>
      <x:c r="F78" s="32"/>
      <x:c r="G78" s="32"/>
      <x:c r="H78" s="32"/>
    </x:row>
    <x:row r="79" ht="15" hidden="0" customHeight="1">
      <x:c r="A79" s="349" t="str">
        <x:v>Важно: 2027–2029 предельная база и МРОТ пока стоят как proxy 2026. Механика расчетов готова, но основной P&amp;L и Cash Flow не переключаются до замены этих input на официальные значения.</x:v>
      </x:c>
      <x:c r="B79" s="349"/>
      <x:c r="C79" s="349"/>
      <x:c r="D79" s="349"/>
      <x:c r="E79" s="349"/>
      <x:c r="F79" s="349"/>
      <x:c r="G79" s="349"/>
      <x:c r="H79" s="349"/>
    </x:row>
    <x:row r="81">
      <x:c r="A81" s="366" t="str">
        <x:v>Сценарий, который передается в P&amp;L и Cash Flow</x:v>
      </x:c>
      <x:c r="B81" s="366"/>
      <x:c r="C81" s="366"/>
      <x:c r="D81" s="366"/>
      <x:c r="E81" s="366"/>
      <x:c r="F81" s="366"/>
      <x:c r="G81" s="366"/>
      <x:c r="H81" s="366"/>
      <x:c r="J81" s="366" t="str">
        <x:v>Месячный мост в основную финансовую модель</x:v>
      </x:c>
      <x:c r="K81" s="366"/>
      <x:c r="L81" s="366"/>
      <x:c r="M81" s="366"/>
      <x:c r="N81" s="366"/>
      <x:c r="O81" s="366"/>
      <x:c r="P81" s="366"/>
      <x:c r="Q81" s="366"/>
      <x:c r="R81" s="366"/>
      <x:c r="S81" s="366"/>
      <x:c r="T81" s="366"/>
      <x:c r="U81" s="366"/>
      <x:c r="V81" s="366"/>
      <x:c r="W81" s="366"/>
      <x:c r="X81" s="366"/>
      <x:c r="Y81" s="366"/>
      <x:c r="Z81" s="366"/>
      <x:c r="AA81" s="366"/>
      <x:c r="AB81" s="366"/>
      <x:c r="AC81" s="366"/>
      <x:c r="AD81" s="366"/>
      <x:c r="AE81" s="366"/>
      <x:c r="AF81" s="366"/>
      <x:c r="AG81" s="366"/>
      <x:c r="AH81" s="366"/>
      <x:c r="AI81" s="366"/>
      <x:c r="AJ81" s="366"/>
      <x:c r="AK81" s="366"/>
      <x:c r="AL81" s="366"/>
      <x:c r="AM81" s="366"/>
      <x:c r="AN81" s="366"/>
      <x:c r="AO81" s="366"/>
      <x:c r="AP81" s="366"/>
      <x:c r="AQ81" s="366"/>
      <x:c r="AR81" s="366"/>
      <x:c r="AS81" s="366"/>
    </x:row>
    <x:row r="82">
      <x:c r="A82" s="370" t="str">
        <x:v>Выбранный сценарий</x:v>
      </x:c>
      <x:c r="B82" s="404" t="str">
        <x:v>УСН 6% → СПб IT 1% после gate</x:v>
      </x:c>
      <x:c r="C82" s="32"/>
      <x:c r="D82" s="32"/>
      <x:c r="E82" s="32"/>
      <x:c r="F82" s="32"/>
      <x:c r="G82" s="32"/>
      <x:c r="H82" s="32"/>
      <x:c r="J82" s="372" t="n">
        <x:v>1</x:v>
      </x:c>
      <x:c r="K82" s="372" t="n">
        <x:v>2</x:v>
      </x:c>
      <x:c r="L82" s="372" t="n">
        <x:v>3</x:v>
      </x:c>
      <x:c r="M82" s="372" t="n">
        <x:v>4</x:v>
      </x:c>
      <x:c r="N82" s="372" t="n">
        <x:v>5</x:v>
      </x:c>
      <x:c r="O82" s="372" t="n">
        <x:v>6</x:v>
      </x:c>
      <x:c r="P82" s="372" t="n">
        <x:v>7</x:v>
      </x:c>
      <x:c r="Q82" s="372" t="n">
        <x:v>8</x:v>
      </x:c>
      <x:c r="R82" s="372" t="n">
        <x:v>9</x:v>
      </x:c>
      <x:c r="S82" s="372" t="n">
        <x:v>10</x:v>
      </x:c>
      <x:c r="T82" s="372" t="n">
        <x:v>11</x:v>
      </x:c>
      <x:c r="U82" s="372" t="n">
        <x:v>12</x:v>
      </x:c>
      <x:c r="V82" s="372" t="n">
        <x:v>13</x:v>
      </x:c>
      <x:c r="W82" s="372" t="n">
        <x:v>14</x:v>
      </x:c>
      <x:c r="X82" s="372" t="n">
        <x:v>15</x:v>
      </x:c>
      <x:c r="Y82" s="372" t="n">
        <x:v>16</x:v>
      </x:c>
      <x:c r="Z82" s="372" t="n">
        <x:v>17</x:v>
      </x:c>
      <x:c r="AA82" s="372" t="n">
        <x:v>18</x:v>
      </x:c>
      <x:c r="AB82" s="372" t="n">
        <x:v>19</x:v>
      </x:c>
      <x:c r="AC82" s="372" t="n">
        <x:v>20</x:v>
      </x:c>
      <x:c r="AD82" s="372" t="n">
        <x:v>21</x:v>
      </x:c>
      <x:c r="AE82" s="372" t="n">
        <x:v>22</x:v>
      </x:c>
      <x:c r="AF82" s="372" t="n">
        <x:v>23</x:v>
      </x:c>
      <x:c r="AG82" s="372" t="n">
        <x:v>24</x:v>
      </x:c>
      <x:c r="AH82" s="372" t="n">
        <x:v>25</x:v>
      </x:c>
      <x:c r="AI82" s="372" t="n">
        <x:v>26</x:v>
      </x:c>
      <x:c r="AJ82" s="372" t="n">
        <x:v>27</x:v>
      </x:c>
      <x:c r="AK82" s="372" t="n">
        <x:v>28</x:v>
      </x:c>
      <x:c r="AL82" s="372" t="n">
        <x:v>29</x:v>
      </x:c>
      <x:c r="AM82" s="372" t="n">
        <x:v>30</x:v>
      </x:c>
      <x:c r="AN82" s="372" t="n">
        <x:v>31</x:v>
      </x:c>
      <x:c r="AO82" s="372" t="n">
        <x:v>32</x:v>
      </x:c>
      <x:c r="AP82" s="372" t="n">
        <x:v>33</x:v>
      </x:c>
      <x:c r="AQ82" s="372" t="n">
        <x:v>34</x:v>
      </x:c>
      <x:c r="AR82" s="372" t="n">
        <x:v>35</x:v>
      </x:c>
      <x:c r="AS82" s="372" t="n">
        <x:v>36</x:v>
      </x:c>
    </x:row>
    <x:row r="83">
      <x:c r="A83" s="370" t="str">
        <x:v>Назначение</x:v>
      </x:c>
      <x:c r="B83" s="32" t="str">
        <x:v>Base-case использует обычные ставки до effective-date; льготы включаются только после gate.</x:v>
      </x:c>
      <x:c r="C83" s="32"/>
      <x:c r="D83" s="32"/>
      <x:c r="E83" s="32"/>
      <x:c r="F83" s="32"/>
      <x:c r="G83" s="32"/>
      <x:c r="H83" s="32"/>
      <x:c r="I83" s="369" t="str">
        <x:v>Gross ФОТ штата / мес.</x:v>
      </x:c>
      <x:c r="J83" s="299" t="n">
        <x:f>IF(AND('Команда'!$C$4&lt;=1,'Команда'!$D$4&gt;=1,'Команда'!$G$4="Штат"),'Команда'!$B$4,0)+IF(AND('Команда'!$C$5&lt;=1,'Команда'!$D$5&gt;=1,'Команда'!$G$5="Штат"),'Команда'!$B$5,0)+IF(AND('Команда'!$C$6&lt;=1,'Команда'!$D$6&gt;=1,'Команда'!$G$6="Штат"),'Команда'!$B$6,0)+IF(AND('Команда'!$C$7&lt;=1,'Команда'!$D$7&gt;=1,'Команда'!$G$7="Штат"),'Команда'!$B$7,0)+IF(AND('Команда'!$C$8&lt;=1,'Команда'!$D$8&gt;=1,'Команда'!$G$8="Штат"),'Команда'!$B$8,0)+IF(AND('Команда'!$C$9&lt;=1,'Команда'!$D$9&gt;=1,'Команда'!$G$9="Штат"),'Команда'!$B$9,0)+IF(AND('Команда'!$C$10&lt;=1,'Команда'!$D$10&gt;=1,'Команда'!$G$10="Штат"),'Команда'!$B$10,0)+IF(AND('Команда'!$C$11&lt;=1,'Команда'!$D$11&gt;=1,'Команда'!$G$11="Штат"),'Команда'!$B$11,0)+IF(AND('Команда'!$C$12&lt;=1,'Команда'!$D$12&gt;=1,'Команда'!$G$12="Штат"),'Команда'!$B$12,0)+IF(AND('Команда'!$C$13&lt;=1,'Команда'!$D$13&gt;=1,'Команда'!$G$13="Штат"),'Команда'!$B$13,0)+IF(AND('Команда'!$C$14&lt;=1,'Команда'!$D$14&gt;=1,'Команда'!$G$14="Штат"),'Команда'!$B$14,0)+IF(AND('Команда'!$C$15&lt;=1,'Команда'!$D$15&gt;=1,'Команда'!$G$15="Штат"),'Команда'!$B$15,0)+IF(AND('Команда'!$C$16&lt;=1,'Команда'!$D$16&gt;=1,'Команда'!$G$16="Штат"),'Команда'!$B$16,0)</x:f>
        <x:v>2150000</x:v>
      </x:c>
      <x:c r="K83" s="299" t="n">
        <x:f>IF(AND('Команда'!$C$4&lt;=2,'Команда'!$D$4&gt;=2,'Команда'!$G$4="Штат"),'Команда'!$B$4,0)+IF(AND('Команда'!$C$5&lt;=2,'Команда'!$D$5&gt;=2,'Команда'!$G$5="Штат"),'Команда'!$B$5,0)+IF(AND('Команда'!$C$6&lt;=2,'Команда'!$D$6&gt;=2,'Команда'!$G$6="Штат"),'Команда'!$B$6,0)+IF(AND('Команда'!$C$7&lt;=2,'Команда'!$D$7&gt;=2,'Команда'!$G$7="Штат"),'Команда'!$B$7,0)+IF(AND('Команда'!$C$8&lt;=2,'Команда'!$D$8&gt;=2,'Команда'!$G$8="Штат"),'Команда'!$B$8,0)+IF(AND('Команда'!$C$9&lt;=2,'Команда'!$D$9&gt;=2,'Команда'!$G$9="Штат"),'Команда'!$B$9,0)+IF(AND('Команда'!$C$10&lt;=2,'Команда'!$D$10&gt;=2,'Команда'!$G$10="Штат"),'Команда'!$B$10,0)+IF(AND('Команда'!$C$11&lt;=2,'Команда'!$D$11&gt;=2,'Команда'!$G$11="Штат"),'Команда'!$B$11,0)+IF(AND('Команда'!$C$12&lt;=2,'Команда'!$D$12&gt;=2,'Команда'!$G$12="Штат"),'Команда'!$B$12,0)+IF(AND('Команда'!$C$13&lt;=2,'Команда'!$D$13&gt;=2,'Команда'!$G$13="Штат"),'Команда'!$B$13,0)+IF(AND('Команда'!$C$14&lt;=2,'Команда'!$D$14&gt;=2,'Команда'!$G$14="Штат"),'Команда'!$B$14,0)+IF(AND('Команда'!$C$15&lt;=2,'Команда'!$D$15&gt;=2,'Команда'!$G$15="Штат"),'Команда'!$B$15,0)+IF(AND('Команда'!$C$16&lt;=2,'Команда'!$D$16&gt;=2,'Команда'!$G$16="Штат"),'Команда'!$B$16,0)</x:f>
        <x:v>2150000</x:v>
      </x:c>
      <x:c r="L83" s="299" t="n">
        <x:f>IF(AND('Команда'!$C$4&lt;=3,'Команда'!$D$4&gt;=3,'Команда'!$G$4="Штат"),'Команда'!$B$4,0)+IF(AND('Команда'!$C$5&lt;=3,'Команда'!$D$5&gt;=3,'Команда'!$G$5="Штат"),'Команда'!$B$5,0)+IF(AND('Команда'!$C$6&lt;=3,'Команда'!$D$6&gt;=3,'Команда'!$G$6="Штат"),'Команда'!$B$6,0)+IF(AND('Команда'!$C$7&lt;=3,'Команда'!$D$7&gt;=3,'Команда'!$G$7="Штат"),'Команда'!$B$7,0)+IF(AND('Команда'!$C$8&lt;=3,'Команда'!$D$8&gt;=3,'Команда'!$G$8="Штат"),'Команда'!$B$8,0)+IF(AND('Команда'!$C$9&lt;=3,'Команда'!$D$9&gt;=3,'Команда'!$G$9="Штат"),'Команда'!$B$9,0)+IF(AND('Команда'!$C$10&lt;=3,'Команда'!$D$10&gt;=3,'Команда'!$G$10="Штат"),'Команда'!$B$10,0)+IF(AND('Команда'!$C$11&lt;=3,'Команда'!$D$11&gt;=3,'Команда'!$G$11="Штат"),'Команда'!$B$11,0)+IF(AND('Команда'!$C$12&lt;=3,'Команда'!$D$12&gt;=3,'Команда'!$G$12="Штат"),'Команда'!$B$12,0)+IF(AND('Команда'!$C$13&lt;=3,'Команда'!$D$13&gt;=3,'Команда'!$G$13="Штат"),'Команда'!$B$13,0)+IF(AND('Команда'!$C$14&lt;=3,'Команда'!$D$14&gt;=3,'Команда'!$G$14="Штат"),'Команда'!$B$14,0)+IF(AND('Команда'!$C$15&lt;=3,'Команда'!$D$15&gt;=3,'Команда'!$G$15="Штат"),'Команда'!$B$15,0)+IF(AND('Команда'!$C$16&lt;=3,'Команда'!$D$16&gt;=3,'Команда'!$G$16="Штат"),'Команда'!$B$16,0)</x:f>
        <x:v>2150000</x:v>
      </x:c>
      <x:c r="M83" s="299" t="n">
        <x:f>IF(AND('Команда'!$C$4&lt;=4,'Команда'!$D$4&gt;=4,'Команда'!$G$4="Штат"),'Команда'!$B$4,0)+IF(AND('Команда'!$C$5&lt;=4,'Команда'!$D$5&gt;=4,'Команда'!$G$5="Штат"),'Команда'!$B$5,0)+IF(AND('Команда'!$C$6&lt;=4,'Команда'!$D$6&gt;=4,'Команда'!$G$6="Штат"),'Команда'!$B$6,0)+IF(AND('Команда'!$C$7&lt;=4,'Команда'!$D$7&gt;=4,'Команда'!$G$7="Штат"),'Команда'!$B$7,0)+IF(AND('Команда'!$C$8&lt;=4,'Команда'!$D$8&gt;=4,'Команда'!$G$8="Штат"),'Команда'!$B$8,0)+IF(AND('Команда'!$C$9&lt;=4,'Команда'!$D$9&gt;=4,'Команда'!$G$9="Штат"),'Команда'!$B$9,0)+IF(AND('Команда'!$C$10&lt;=4,'Команда'!$D$10&gt;=4,'Команда'!$G$10="Штат"),'Команда'!$B$10,0)+IF(AND('Команда'!$C$11&lt;=4,'Команда'!$D$11&gt;=4,'Команда'!$G$11="Штат"),'Команда'!$B$11,0)+IF(AND('Команда'!$C$12&lt;=4,'Команда'!$D$12&gt;=4,'Команда'!$G$12="Штат"),'Команда'!$B$12,0)+IF(AND('Команда'!$C$13&lt;=4,'Команда'!$D$13&gt;=4,'Команда'!$G$13="Штат"),'Команда'!$B$13,0)+IF(AND('Команда'!$C$14&lt;=4,'Команда'!$D$14&gt;=4,'Команда'!$G$14="Штат"),'Команда'!$B$14,0)+IF(AND('Команда'!$C$15&lt;=4,'Команда'!$D$15&gt;=4,'Команда'!$G$15="Штат"),'Команда'!$B$15,0)+IF(AND('Команда'!$C$16&lt;=4,'Команда'!$D$16&gt;=4,'Команда'!$G$16="Штат"),'Команда'!$B$16,0)</x:f>
        <x:v>2400000</x:v>
      </x:c>
      <x:c r="N83" s="299" t="n">
        <x:f>IF(AND('Команда'!$C$4&lt;=5,'Команда'!$D$4&gt;=5,'Команда'!$G$4="Штат"),'Команда'!$B$4,0)+IF(AND('Команда'!$C$5&lt;=5,'Команда'!$D$5&gt;=5,'Команда'!$G$5="Штат"),'Команда'!$B$5,0)+IF(AND('Команда'!$C$6&lt;=5,'Команда'!$D$6&gt;=5,'Команда'!$G$6="Штат"),'Команда'!$B$6,0)+IF(AND('Команда'!$C$7&lt;=5,'Команда'!$D$7&gt;=5,'Команда'!$G$7="Штат"),'Команда'!$B$7,0)+IF(AND('Команда'!$C$8&lt;=5,'Команда'!$D$8&gt;=5,'Команда'!$G$8="Штат"),'Команда'!$B$8,0)+IF(AND('Команда'!$C$9&lt;=5,'Команда'!$D$9&gt;=5,'Команда'!$G$9="Штат"),'Команда'!$B$9,0)+IF(AND('Команда'!$C$10&lt;=5,'Команда'!$D$10&gt;=5,'Команда'!$G$10="Штат"),'Команда'!$B$10,0)+IF(AND('Команда'!$C$11&lt;=5,'Команда'!$D$11&gt;=5,'Команда'!$G$11="Штат"),'Команда'!$B$11,0)+IF(AND('Команда'!$C$12&lt;=5,'Команда'!$D$12&gt;=5,'Команда'!$G$12="Штат"),'Команда'!$B$12,0)+IF(AND('Команда'!$C$13&lt;=5,'Команда'!$D$13&gt;=5,'Команда'!$G$13="Штат"),'Команда'!$B$13,0)+IF(AND('Команда'!$C$14&lt;=5,'Команда'!$D$14&gt;=5,'Команда'!$G$14="Штат"),'Команда'!$B$14,0)+IF(AND('Команда'!$C$15&lt;=5,'Команда'!$D$15&gt;=5,'Команда'!$G$15="Штат"),'Команда'!$B$15,0)+IF(AND('Команда'!$C$16&lt;=5,'Команда'!$D$16&gt;=5,'Команда'!$G$16="Штат"),'Команда'!$B$16,0)</x:f>
        <x:v>2400000</x:v>
      </x:c>
      <x:c r="O83" s="299" t="n">
        <x:f>IF(AND('Команда'!$C$4&lt;=6,'Команда'!$D$4&gt;=6,'Команда'!$G$4="Штат"),'Команда'!$B$4,0)+IF(AND('Команда'!$C$5&lt;=6,'Команда'!$D$5&gt;=6,'Команда'!$G$5="Штат"),'Команда'!$B$5,0)+IF(AND('Команда'!$C$6&lt;=6,'Команда'!$D$6&gt;=6,'Команда'!$G$6="Штат"),'Команда'!$B$6,0)+IF(AND('Команда'!$C$7&lt;=6,'Команда'!$D$7&gt;=6,'Команда'!$G$7="Штат"),'Команда'!$B$7,0)+IF(AND('Команда'!$C$8&lt;=6,'Команда'!$D$8&gt;=6,'Команда'!$G$8="Штат"),'Команда'!$B$8,0)+IF(AND('Команда'!$C$9&lt;=6,'Команда'!$D$9&gt;=6,'Команда'!$G$9="Штат"),'Команда'!$B$9,0)+IF(AND('Команда'!$C$10&lt;=6,'Команда'!$D$10&gt;=6,'Команда'!$G$10="Штат"),'Команда'!$B$10,0)+IF(AND('Команда'!$C$11&lt;=6,'Команда'!$D$11&gt;=6,'Команда'!$G$11="Штат"),'Команда'!$B$11,0)+IF(AND('Команда'!$C$12&lt;=6,'Команда'!$D$12&gt;=6,'Команда'!$G$12="Штат"),'Команда'!$B$12,0)+IF(AND('Команда'!$C$13&lt;=6,'Команда'!$D$13&gt;=6,'Команда'!$G$13="Штат"),'Команда'!$B$13,0)+IF(AND('Команда'!$C$14&lt;=6,'Команда'!$D$14&gt;=6,'Команда'!$G$14="Штат"),'Команда'!$B$14,0)+IF(AND('Команда'!$C$15&lt;=6,'Команда'!$D$15&gt;=6,'Команда'!$G$15="Штат"),'Команда'!$B$15,0)+IF(AND('Команда'!$C$16&lt;=6,'Команда'!$D$16&gt;=6,'Команда'!$G$16="Штат"),'Команда'!$B$16,0)</x:f>
        <x:v>2400000</x:v>
      </x:c>
      <x:c r="P83" s="299" t="n">
        <x:f>IF(AND('Команда'!$C$4&lt;=7,'Команда'!$D$4&gt;=7,'Команда'!$G$4="Штат"),'Команда'!$B$4,0)+IF(AND('Команда'!$C$5&lt;=7,'Команда'!$D$5&gt;=7,'Команда'!$G$5="Штат"),'Команда'!$B$5,0)+IF(AND('Команда'!$C$6&lt;=7,'Команда'!$D$6&gt;=7,'Команда'!$G$6="Штат"),'Команда'!$B$6,0)+IF(AND('Команда'!$C$7&lt;=7,'Команда'!$D$7&gt;=7,'Команда'!$G$7="Штат"),'Команда'!$B$7,0)+IF(AND('Команда'!$C$8&lt;=7,'Команда'!$D$8&gt;=7,'Команда'!$G$8="Штат"),'Команда'!$B$8,0)+IF(AND('Команда'!$C$9&lt;=7,'Команда'!$D$9&gt;=7,'Команда'!$G$9="Штат"),'Команда'!$B$9,0)+IF(AND('Команда'!$C$10&lt;=7,'Команда'!$D$10&gt;=7,'Команда'!$G$10="Штат"),'Команда'!$B$10,0)+IF(AND('Команда'!$C$11&lt;=7,'Команда'!$D$11&gt;=7,'Команда'!$G$11="Штат"),'Команда'!$B$11,0)+IF(AND('Команда'!$C$12&lt;=7,'Команда'!$D$12&gt;=7,'Команда'!$G$12="Штат"),'Команда'!$B$12,0)+IF(AND('Команда'!$C$13&lt;=7,'Команда'!$D$13&gt;=7,'Команда'!$G$13="Штат"),'Команда'!$B$13,0)+IF(AND('Команда'!$C$14&lt;=7,'Команда'!$D$14&gt;=7,'Команда'!$G$14="Штат"),'Команда'!$B$14,0)+IF(AND('Команда'!$C$15&lt;=7,'Команда'!$D$15&gt;=7,'Команда'!$G$15="Штат"),'Команда'!$B$15,0)+IF(AND('Команда'!$C$16&lt;=7,'Команда'!$D$16&gt;=7,'Команда'!$G$16="Штат"),'Команда'!$B$16,0)</x:f>
        <x:v>2950000</x:v>
      </x:c>
      <x:c r="Q83" s="299" t="n">
        <x:f>IF(AND('Команда'!$C$4&lt;=8,'Команда'!$D$4&gt;=8,'Команда'!$G$4="Штат"),'Команда'!$B$4,0)+IF(AND('Команда'!$C$5&lt;=8,'Команда'!$D$5&gt;=8,'Команда'!$G$5="Штат"),'Команда'!$B$5,0)+IF(AND('Команда'!$C$6&lt;=8,'Команда'!$D$6&gt;=8,'Команда'!$G$6="Штат"),'Команда'!$B$6,0)+IF(AND('Команда'!$C$7&lt;=8,'Команда'!$D$7&gt;=8,'Команда'!$G$7="Штат"),'Команда'!$B$7,0)+IF(AND('Команда'!$C$8&lt;=8,'Команда'!$D$8&gt;=8,'Команда'!$G$8="Штат"),'Команда'!$B$8,0)+IF(AND('Команда'!$C$9&lt;=8,'Команда'!$D$9&gt;=8,'Команда'!$G$9="Штат"),'Команда'!$B$9,0)+IF(AND('Команда'!$C$10&lt;=8,'Команда'!$D$10&gt;=8,'Команда'!$G$10="Штат"),'Команда'!$B$10,0)+IF(AND('Команда'!$C$11&lt;=8,'Команда'!$D$11&gt;=8,'Команда'!$G$11="Штат"),'Команда'!$B$11,0)+IF(AND('Команда'!$C$12&lt;=8,'Команда'!$D$12&gt;=8,'Команда'!$G$12="Штат"),'Команда'!$B$12,0)+IF(AND('Команда'!$C$13&lt;=8,'Команда'!$D$13&gt;=8,'Команда'!$G$13="Штат"),'Команда'!$B$13,0)+IF(AND('Команда'!$C$14&lt;=8,'Команда'!$D$14&gt;=8,'Команда'!$G$14="Штат"),'Команда'!$B$14,0)+IF(AND('Команда'!$C$15&lt;=8,'Команда'!$D$15&gt;=8,'Команда'!$G$15="Штат"),'Команда'!$B$15,0)+IF(AND('Команда'!$C$16&lt;=8,'Команда'!$D$16&gt;=8,'Команда'!$G$16="Штат"),'Команда'!$B$16,0)</x:f>
        <x:v>2950000</x:v>
      </x:c>
      <x:c r="R83" s="299" t="n">
        <x:f>IF(AND('Команда'!$C$4&lt;=9,'Команда'!$D$4&gt;=9,'Команда'!$G$4="Штат"),'Команда'!$B$4,0)+IF(AND('Команда'!$C$5&lt;=9,'Команда'!$D$5&gt;=9,'Команда'!$G$5="Штат"),'Команда'!$B$5,0)+IF(AND('Команда'!$C$6&lt;=9,'Команда'!$D$6&gt;=9,'Команда'!$G$6="Штат"),'Команда'!$B$6,0)+IF(AND('Команда'!$C$7&lt;=9,'Команда'!$D$7&gt;=9,'Команда'!$G$7="Штат"),'Команда'!$B$7,0)+IF(AND('Команда'!$C$8&lt;=9,'Команда'!$D$8&gt;=9,'Команда'!$G$8="Штат"),'Команда'!$B$8,0)+IF(AND('Команда'!$C$9&lt;=9,'Команда'!$D$9&gt;=9,'Команда'!$G$9="Штат"),'Команда'!$B$9,0)+IF(AND('Команда'!$C$10&lt;=9,'Команда'!$D$10&gt;=9,'Команда'!$G$10="Штат"),'Команда'!$B$10,0)+IF(AND('Команда'!$C$11&lt;=9,'Команда'!$D$11&gt;=9,'Команда'!$G$11="Штат"),'Команда'!$B$11,0)+IF(AND('Команда'!$C$12&lt;=9,'Команда'!$D$12&gt;=9,'Команда'!$G$12="Штат"),'Команда'!$B$12,0)+IF(AND('Команда'!$C$13&lt;=9,'Команда'!$D$13&gt;=9,'Команда'!$G$13="Штат"),'Команда'!$B$13,0)+IF(AND('Команда'!$C$14&lt;=9,'Команда'!$D$14&gt;=9,'Команда'!$G$14="Штат"),'Команда'!$B$14,0)+IF(AND('Команда'!$C$15&lt;=9,'Команда'!$D$15&gt;=9,'Команда'!$G$15="Штат"),'Команда'!$B$15,0)+IF(AND('Команда'!$C$16&lt;=9,'Команда'!$D$16&gt;=9,'Команда'!$G$16="Штат"),'Команда'!$B$16,0)</x:f>
        <x:v>2950000</x:v>
      </x:c>
      <x:c r="S83" s="299" t="n">
        <x:f>IF(AND('Команда'!$C$4&lt;=10,'Команда'!$D$4&gt;=10,'Команда'!$G$4="Штат"),'Команда'!$B$4,0)+IF(AND('Команда'!$C$5&lt;=10,'Команда'!$D$5&gt;=10,'Команда'!$G$5="Штат"),'Команда'!$B$5,0)+IF(AND('Команда'!$C$6&lt;=10,'Команда'!$D$6&gt;=10,'Команда'!$G$6="Штат"),'Команда'!$B$6,0)+IF(AND('Команда'!$C$7&lt;=10,'Команда'!$D$7&gt;=10,'Команда'!$G$7="Штат"),'Команда'!$B$7,0)+IF(AND('Команда'!$C$8&lt;=10,'Команда'!$D$8&gt;=10,'Команда'!$G$8="Штат"),'Команда'!$B$8,0)+IF(AND('Команда'!$C$9&lt;=10,'Команда'!$D$9&gt;=10,'Команда'!$G$9="Штат"),'Команда'!$B$9,0)+IF(AND('Команда'!$C$10&lt;=10,'Команда'!$D$10&gt;=10,'Команда'!$G$10="Штат"),'Команда'!$B$10,0)+IF(AND('Команда'!$C$11&lt;=10,'Команда'!$D$11&gt;=10,'Команда'!$G$11="Штат"),'Команда'!$B$11,0)+IF(AND('Команда'!$C$12&lt;=10,'Команда'!$D$12&gt;=10,'Команда'!$G$12="Штат"),'Команда'!$B$12,0)+IF(AND('Команда'!$C$13&lt;=10,'Команда'!$D$13&gt;=10,'Команда'!$G$13="Штат"),'Команда'!$B$13,0)+IF(AND('Команда'!$C$14&lt;=10,'Команда'!$D$14&gt;=10,'Команда'!$G$14="Штат"),'Команда'!$B$14,0)+IF(AND('Команда'!$C$15&lt;=10,'Команда'!$D$15&gt;=10,'Команда'!$G$15="Штат"),'Команда'!$B$15,0)+IF(AND('Команда'!$C$16&lt;=10,'Команда'!$D$16&gt;=10,'Команда'!$G$16="Штат"),'Команда'!$B$16,0)</x:f>
        <x:v>3200000</x:v>
      </x:c>
      <x:c r="T83" s="299" t="n">
        <x:f>IF(AND('Команда'!$C$4&lt;=11,'Команда'!$D$4&gt;=11,'Команда'!$G$4="Штат"),'Команда'!$B$4,0)+IF(AND('Команда'!$C$5&lt;=11,'Команда'!$D$5&gt;=11,'Команда'!$G$5="Штат"),'Команда'!$B$5,0)+IF(AND('Команда'!$C$6&lt;=11,'Команда'!$D$6&gt;=11,'Команда'!$G$6="Штат"),'Команда'!$B$6,0)+IF(AND('Команда'!$C$7&lt;=11,'Команда'!$D$7&gt;=11,'Команда'!$G$7="Штат"),'Команда'!$B$7,0)+IF(AND('Команда'!$C$8&lt;=11,'Команда'!$D$8&gt;=11,'Команда'!$G$8="Штат"),'Команда'!$B$8,0)+IF(AND('Команда'!$C$9&lt;=11,'Команда'!$D$9&gt;=11,'Команда'!$G$9="Штат"),'Команда'!$B$9,0)+IF(AND('Команда'!$C$10&lt;=11,'Команда'!$D$10&gt;=11,'Команда'!$G$10="Штат"),'Команда'!$B$10,0)+IF(AND('Команда'!$C$11&lt;=11,'Команда'!$D$11&gt;=11,'Команда'!$G$11="Штат"),'Команда'!$B$11,0)+IF(AND('Команда'!$C$12&lt;=11,'Команда'!$D$12&gt;=11,'Команда'!$G$12="Штат"),'Команда'!$B$12,0)+IF(AND('Команда'!$C$13&lt;=11,'Команда'!$D$13&gt;=11,'Команда'!$G$13="Штат"),'Команда'!$B$13,0)+IF(AND('Команда'!$C$14&lt;=11,'Команда'!$D$14&gt;=11,'Команда'!$G$14="Штат"),'Команда'!$B$14,0)+IF(AND('Команда'!$C$15&lt;=11,'Команда'!$D$15&gt;=11,'Команда'!$G$15="Штат"),'Команда'!$B$15,0)+IF(AND('Команда'!$C$16&lt;=11,'Команда'!$D$16&gt;=11,'Команда'!$G$16="Штат"),'Команда'!$B$16,0)</x:f>
        <x:v>3200000</x:v>
      </x:c>
      <x:c r="U83" s="299" t="n">
        <x:f>IF(AND('Команда'!$C$4&lt;=12,'Команда'!$D$4&gt;=12,'Команда'!$G$4="Штат"),'Команда'!$B$4,0)+IF(AND('Команда'!$C$5&lt;=12,'Команда'!$D$5&gt;=12,'Команда'!$G$5="Штат"),'Команда'!$B$5,0)+IF(AND('Команда'!$C$6&lt;=12,'Команда'!$D$6&gt;=12,'Команда'!$G$6="Штат"),'Команда'!$B$6,0)+IF(AND('Команда'!$C$7&lt;=12,'Команда'!$D$7&gt;=12,'Команда'!$G$7="Штат"),'Команда'!$B$7,0)+IF(AND('Команда'!$C$8&lt;=12,'Команда'!$D$8&gt;=12,'Команда'!$G$8="Штат"),'Команда'!$B$8,0)+IF(AND('Команда'!$C$9&lt;=12,'Команда'!$D$9&gt;=12,'Команда'!$G$9="Штат"),'Команда'!$B$9,0)+IF(AND('Команда'!$C$10&lt;=12,'Команда'!$D$10&gt;=12,'Команда'!$G$10="Штат"),'Команда'!$B$10,0)+IF(AND('Команда'!$C$11&lt;=12,'Команда'!$D$11&gt;=12,'Команда'!$G$11="Штат"),'Команда'!$B$11,0)+IF(AND('Команда'!$C$12&lt;=12,'Команда'!$D$12&gt;=12,'Команда'!$G$12="Штат"),'Команда'!$B$12,0)+IF(AND('Команда'!$C$13&lt;=12,'Команда'!$D$13&gt;=12,'Команда'!$G$13="Штат"),'Команда'!$B$13,0)+IF(AND('Команда'!$C$14&lt;=12,'Команда'!$D$14&gt;=12,'Команда'!$G$14="Штат"),'Команда'!$B$14,0)+IF(AND('Команда'!$C$15&lt;=12,'Команда'!$D$15&gt;=12,'Команда'!$G$15="Штат"),'Команда'!$B$15,0)+IF(AND('Команда'!$C$16&lt;=12,'Команда'!$D$16&gt;=12,'Команда'!$G$16="Штат"),'Команда'!$B$16,0)</x:f>
        <x:v>3200000</x:v>
      </x:c>
      <x:c r="V83" s="299" t="n">
        <x:f>IF(AND('Команда'!$C$4&lt;=13,'Команда'!$D$4&gt;=13,'Команда'!$G$4="Штат"),'Команда'!$B$4,0)+IF(AND('Команда'!$C$5&lt;=13,'Команда'!$D$5&gt;=13,'Команда'!$G$5="Штат"),'Команда'!$B$5,0)+IF(AND('Команда'!$C$6&lt;=13,'Команда'!$D$6&gt;=13,'Команда'!$G$6="Штат"),'Команда'!$B$6,0)+IF(AND('Команда'!$C$7&lt;=13,'Команда'!$D$7&gt;=13,'Команда'!$G$7="Штат"),'Команда'!$B$7,0)+IF(AND('Команда'!$C$8&lt;=13,'Команда'!$D$8&gt;=13,'Команда'!$G$8="Штат"),'Команда'!$B$8,0)+IF(AND('Команда'!$C$9&lt;=13,'Команда'!$D$9&gt;=13,'Команда'!$G$9="Штат"),'Команда'!$B$9,0)+IF(AND('Команда'!$C$10&lt;=13,'Команда'!$D$10&gt;=13,'Команда'!$G$10="Штат"),'Команда'!$B$10,0)+IF(AND('Команда'!$C$11&lt;=13,'Команда'!$D$11&gt;=13,'Команда'!$G$11="Штат"),'Команда'!$B$11,0)+IF(AND('Команда'!$C$12&lt;=13,'Команда'!$D$12&gt;=13,'Команда'!$G$12="Штат"),'Команда'!$B$12,0)+IF(AND('Команда'!$C$13&lt;=13,'Команда'!$D$13&gt;=13,'Команда'!$G$13="Штат"),'Команда'!$B$13,0)+IF(AND('Команда'!$C$14&lt;=13,'Команда'!$D$14&gt;=13,'Команда'!$G$14="Штат"),'Команда'!$B$14,0)+IF(AND('Команда'!$C$15&lt;=13,'Команда'!$D$15&gt;=13,'Команда'!$G$15="Штат"),'Команда'!$B$15,0)+IF(AND('Команда'!$C$16&lt;=13,'Команда'!$D$16&gt;=13,'Команда'!$G$16="Штат"),'Команда'!$B$16,0)</x:f>
        <x:v>3200000</x:v>
      </x:c>
      <x:c r="W83" s="299" t="n">
        <x:f>IF(AND('Команда'!$C$4&lt;=14,'Команда'!$D$4&gt;=14,'Команда'!$G$4="Штат"),'Команда'!$B$4,0)+IF(AND('Команда'!$C$5&lt;=14,'Команда'!$D$5&gt;=14,'Команда'!$G$5="Штат"),'Команда'!$B$5,0)+IF(AND('Команда'!$C$6&lt;=14,'Команда'!$D$6&gt;=14,'Команда'!$G$6="Штат"),'Команда'!$B$6,0)+IF(AND('Команда'!$C$7&lt;=14,'Команда'!$D$7&gt;=14,'Команда'!$G$7="Штат"),'Команда'!$B$7,0)+IF(AND('Команда'!$C$8&lt;=14,'Команда'!$D$8&gt;=14,'Команда'!$G$8="Штат"),'Команда'!$B$8,0)+IF(AND('Команда'!$C$9&lt;=14,'Команда'!$D$9&gt;=14,'Команда'!$G$9="Штат"),'Команда'!$B$9,0)+IF(AND('Команда'!$C$10&lt;=14,'Команда'!$D$10&gt;=14,'Команда'!$G$10="Штат"),'Команда'!$B$10,0)+IF(AND('Команда'!$C$11&lt;=14,'Команда'!$D$11&gt;=14,'Команда'!$G$11="Штат"),'Команда'!$B$11,0)+IF(AND('Команда'!$C$12&lt;=14,'Команда'!$D$12&gt;=14,'Команда'!$G$12="Штат"),'Команда'!$B$12,0)+IF(AND('Команда'!$C$13&lt;=14,'Команда'!$D$13&gt;=14,'Команда'!$G$13="Штат"),'Команда'!$B$13,0)+IF(AND('Команда'!$C$14&lt;=14,'Команда'!$D$14&gt;=14,'Команда'!$G$14="Штат"),'Команда'!$B$14,0)+IF(AND('Команда'!$C$15&lt;=14,'Команда'!$D$15&gt;=14,'Команда'!$G$15="Штат"),'Команда'!$B$15,0)+IF(AND('Команда'!$C$16&lt;=14,'Команда'!$D$16&gt;=14,'Команда'!$G$16="Штат"),'Команда'!$B$16,0)</x:f>
        <x:v>3200000</x:v>
      </x:c>
      <x:c r="X83" s="299" t="n">
        <x:f>IF(AND('Команда'!$C$4&lt;=15,'Команда'!$D$4&gt;=15,'Команда'!$G$4="Штат"),'Команда'!$B$4,0)+IF(AND('Команда'!$C$5&lt;=15,'Команда'!$D$5&gt;=15,'Команда'!$G$5="Штат"),'Команда'!$B$5,0)+IF(AND('Команда'!$C$6&lt;=15,'Команда'!$D$6&gt;=15,'Команда'!$G$6="Штат"),'Команда'!$B$6,0)+IF(AND('Команда'!$C$7&lt;=15,'Команда'!$D$7&gt;=15,'Команда'!$G$7="Штат"),'Команда'!$B$7,0)+IF(AND('Команда'!$C$8&lt;=15,'Команда'!$D$8&gt;=15,'Команда'!$G$8="Штат"),'Команда'!$B$8,0)+IF(AND('Команда'!$C$9&lt;=15,'Команда'!$D$9&gt;=15,'Команда'!$G$9="Штат"),'Команда'!$B$9,0)+IF(AND('Команда'!$C$10&lt;=15,'Команда'!$D$10&gt;=15,'Команда'!$G$10="Штат"),'Команда'!$B$10,0)+IF(AND('Команда'!$C$11&lt;=15,'Команда'!$D$11&gt;=15,'Команда'!$G$11="Штат"),'Команда'!$B$11,0)+IF(AND('Команда'!$C$12&lt;=15,'Команда'!$D$12&gt;=15,'Команда'!$G$12="Штат"),'Команда'!$B$12,0)+IF(AND('Команда'!$C$13&lt;=15,'Команда'!$D$13&gt;=15,'Команда'!$G$13="Штат"),'Команда'!$B$13,0)+IF(AND('Команда'!$C$14&lt;=15,'Команда'!$D$14&gt;=15,'Команда'!$G$14="Штат"),'Команда'!$B$14,0)+IF(AND('Команда'!$C$15&lt;=15,'Команда'!$D$15&gt;=15,'Команда'!$G$15="Штат"),'Команда'!$B$15,0)+IF(AND('Команда'!$C$16&lt;=15,'Команда'!$D$16&gt;=15,'Команда'!$G$16="Штат"),'Команда'!$B$16,0)</x:f>
        <x:v>3200000</x:v>
      </x:c>
      <x:c r="Y83" s="299" t="n">
        <x:f>IF(AND('Команда'!$C$4&lt;=16,'Команда'!$D$4&gt;=16,'Команда'!$G$4="Штат"),'Команда'!$B$4,0)+IF(AND('Команда'!$C$5&lt;=16,'Команда'!$D$5&gt;=16,'Команда'!$G$5="Штат"),'Команда'!$B$5,0)+IF(AND('Команда'!$C$6&lt;=16,'Команда'!$D$6&gt;=16,'Команда'!$G$6="Штат"),'Команда'!$B$6,0)+IF(AND('Команда'!$C$7&lt;=16,'Команда'!$D$7&gt;=16,'Команда'!$G$7="Штат"),'Команда'!$B$7,0)+IF(AND('Команда'!$C$8&lt;=16,'Команда'!$D$8&gt;=16,'Команда'!$G$8="Штат"),'Команда'!$B$8,0)+IF(AND('Команда'!$C$9&lt;=16,'Команда'!$D$9&gt;=16,'Команда'!$G$9="Штат"),'Команда'!$B$9,0)+IF(AND('Команда'!$C$10&lt;=16,'Команда'!$D$10&gt;=16,'Команда'!$G$10="Штат"),'Команда'!$B$10,0)+IF(AND('Команда'!$C$11&lt;=16,'Команда'!$D$11&gt;=16,'Команда'!$G$11="Штат"),'Команда'!$B$11,0)+IF(AND('Команда'!$C$12&lt;=16,'Команда'!$D$12&gt;=16,'Команда'!$G$12="Штат"),'Команда'!$B$12,0)+IF(AND('Команда'!$C$13&lt;=16,'Команда'!$D$13&gt;=16,'Команда'!$G$13="Штат"),'Команда'!$B$13,0)+IF(AND('Команда'!$C$14&lt;=16,'Команда'!$D$14&gt;=16,'Команда'!$G$14="Штат"),'Команда'!$B$14,0)+IF(AND('Команда'!$C$15&lt;=16,'Команда'!$D$15&gt;=16,'Команда'!$G$15="Штат"),'Команда'!$B$15,0)+IF(AND('Команда'!$C$16&lt;=16,'Команда'!$D$16&gt;=16,'Команда'!$G$16="Штат"),'Команда'!$B$16,0)</x:f>
        <x:v>3200000</x:v>
      </x:c>
      <x:c r="Z83" s="299" t="n">
        <x:f>IF(AND('Команда'!$C$4&lt;=17,'Команда'!$D$4&gt;=17,'Команда'!$G$4="Штат"),'Команда'!$B$4,0)+IF(AND('Команда'!$C$5&lt;=17,'Команда'!$D$5&gt;=17,'Команда'!$G$5="Штат"),'Команда'!$B$5,0)+IF(AND('Команда'!$C$6&lt;=17,'Команда'!$D$6&gt;=17,'Команда'!$G$6="Штат"),'Команда'!$B$6,0)+IF(AND('Команда'!$C$7&lt;=17,'Команда'!$D$7&gt;=17,'Команда'!$G$7="Штат"),'Команда'!$B$7,0)+IF(AND('Команда'!$C$8&lt;=17,'Команда'!$D$8&gt;=17,'Команда'!$G$8="Штат"),'Команда'!$B$8,0)+IF(AND('Команда'!$C$9&lt;=17,'Команда'!$D$9&gt;=17,'Команда'!$G$9="Штат"),'Команда'!$B$9,0)+IF(AND('Команда'!$C$10&lt;=17,'Команда'!$D$10&gt;=17,'Команда'!$G$10="Штат"),'Команда'!$B$10,0)+IF(AND('Команда'!$C$11&lt;=17,'Команда'!$D$11&gt;=17,'Команда'!$G$11="Штат"),'Команда'!$B$11,0)+IF(AND('Команда'!$C$12&lt;=17,'Команда'!$D$12&gt;=17,'Команда'!$G$12="Штат"),'Команда'!$B$12,0)+IF(AND('Команда'!$C$13&lt;=17,'Команда'!$D$13&gt;=17,'Команда'!$G$13="Штат"),'Команда'!$B$13,0)+IF(AND('Команда'!$C$14&lt;=17,'Команда'!$D$14&gt;=17,'Команда'!$G$14="Штат"),'Команда'!$B$14,0)+IF(AND('Команда'!$C$15&lt;=17,'Команда'!$D$15&gt;=17,'Команда'!$G$15="Штат"),'Команда'!$B$15,0)+IF(AND('Команда'!$C$16&lt;=17,'Команда'!$D$16&gt;=17,'Команда'!$G$16="Штат"),'Команда'!$B$16,0)</x:f>
        <x:v>3200000</x:v>
      </x:c>
      <x:c r="AA83" s="299" t="n">
        <x:f>IF(AND('Команда'!$C$4&lt;=18,'Команда'!$D$4&gt;=18,'Команда'!$G$4="Штат"),'Команда'!$B$4,0)+IF(AND('Команда'!$C$5&lt;=18,'Команда'!$D$5&gt;=18,'Команда'!$G$5="Штат"),'Команда'!$B$5,0)+IF(AND('Команда'!$C$6&lt;=18,'Команда'!$D$6&gt;=18,'Команда'!$G$6="Штат"),'Команда'!$B$6,0)+IF(AND('Команда'!$C$7&lt;=18,'Команда'!$D$7&gt;=18,'Команда'!$G$7="Штат"),'Команда'!$B$7,0)+IF(AND('Команда'!$C$8&lt;=18,'Команда'!$D$8&gt;=18,'Команда'!$G$8="Штат"),'Команда'!$B$8,0)+IF(AND('Команда'!$C$9&lt;=18,'Команда'!$D$9&gt;=18,'Команда'!$G$9="Штат"),'Команда'!$B$9,0)+IF(AND('Команда'!$C$10&lt;=18,'Команда'!$D$10&gt;=18,'Команда'!$G$10="Штат"),'Команда'!$B$10,0)+IF(AND('Команда'!$C$11&lt;=18,'Команда'!$D$11&gt;=18,'Команда'!$G$11="Штат"),'Команда'!$B$11,0)+IF(AND('Команда'!$C$12&lt;=18,'Команда'!$D$12&gt;=18,'Команда'!$G$12="Штат"),'Команда'!$B$12,0)+IF(AND('Команда'!$C$13&lt;=18,'Команда'!$D$13&gt;=18,'Команда'!$G$13="Штат"),'Команда'!$B$13,0)+IF(AND('Команда'!$C$14&lt;=18,'Команда'!$D$14&gt;=18,'Команда'!$G$14="Штат"),'Команда'!$B$14,0)+IF(AND('Команда'!$C$15&lt;=18,'Команда'!$D$15&gt;=18,'Команда'!$G$15="Штат"),'Команда'!$B$15,0)+IF(AND('Команда'!$C$16&lt;=18,'Команда'!$D$16&gt;=18,'Команда'!$G$16="Штат"),'Команда'!$B$16,0)</x:f>
        <x:v>3200000</x:v>
      </x:c>
      <x:c r="AB83" s="299" t="n">
        <x:f>IF(AND('Команда'!$C$4&lt;=19,'Команда'!$D$4&gt;=19,'Команда'!$G$4="Штат"),'Команда'!$B$4,0)+IF(AND('Команда'!$C$5&lt;=19,'Команда'!$D$5&gt;=19,'Команда'!$G$5="Штат"),'Команда'!$B$5,0)+IF(AND('Команда'!$C$6&lt;=19,'Команда'!$D$6&gt;=19,'Команда'!$G$6="Штат"),'Команда'!$B$6,0)+IF(AND('Команда'!$C$7&lt;=19,'Команда'!$D$7&gt;=19,'Команда'!$G$7="Штат"),'Команда'!$B$7,0)+IF(AND('Команда'!$C$8&lt;=19,'Команда'!$D$8&gt;=19,'Команда'!$G$8="Штат"),'Команда'!$B$8,0)+IF(AND('Команда'!$C$9&lt;=19,'Команда'!$D$9&gt;=19,'Команда'!$G$9="Штат"),'Команда'!$B$9,0)+IF(AND('Команда'!$C$10&lt;=19,'Команда'!$D$10&gt;=19,'Команда'!$G$10="Штат"),'Команда'!$B$10,0)+IF(AND('Команда'!$C$11&lt;=19,'Команда'!$D$11&gt;=19,'Команда'!$G$11="Штат"),'Команда'!$B$11,0)+IF(AND('Команда'!$C$12&lt;=19,'Команда'!$D$12&gt;=19,'Команда'!$G$12="Штат"),'Команда'!$B$12,0)+IF(AND('Команда'!$C$13&lt;=19,'Команда'!$D$13&gt;=19,'Команда'!$G$13="Штат"),'Команда'!$B$13,0)+IF(AND('Команда'!$C$14&lt;=19,'Команда'!$D$14&gt;=19,'Команда'!$G$14="Штат"),'Команда'!$B$14,0)+IF(AND('Команда'!$C$15&lt;=19,'Команда'!$D$15&gt;=19,'Команда'!$G$15="Штат"),'Команда'!$B$15,0)+IF(AND('Команда'!$C$16&lt;=19,'Команда'!$D$16&gt;=19,'Команда'!$G$16="Штат"),'Команда'!$B$16,0)</x:f>
        <x:v>3200000</x:v>
      </x:c>
      <x:c r="AC83" s="299" t="n">
        <x:f>IF(AND('Команда'!$C$4&lt;=20,'Команда'!$D$4&gt;=20,'Команда'!$G$4="Штат"),'Команда'!$B$4,0)+IF(AND('Команда'!$C$5&lt;=20,'Команда'!$D$5&gt;=20,'Команда'!$G$5="Штат"),'Команда'!$B$5,0)+IF(AND('Команда'!$C$6&lt;=20,'Команда'!$D$6&gt;=20,'Команда'!$G$6="Штат"),'Команда'!$B$6,0)+IF(AND('Команда'!$C$7&lt;=20,'Команда'!$D$7&gt;=20,'Команда'!$G$7="Штат"),'Команда'!$B$7,0)+IF(AND('Команда'!$C$8&lt;=20,'Команда'!$D$8&gt;=20,'Команда'!$G$8="Штат"),'Команда'!$B$8,0)+IF(AND('Команда'!$C$9&lt;=20,'Команда'!$D$9&gt;=20,'Команда'!$G$9="Штат"),'Команда'!$B$9,0)+IF(AND('Команда'!$C$10&lt;=20,'Команда'!$D$10&gt;=20,'Команда'!$G$10="Штат"),'Команда'!$B$10,0)+IF(AND('Команда'!$C$11&lt;=20,'Команда'!$D$11&gt;=20,'Команда'!$G$11="Штат"),'Команда'!$B$11,0)+IF(AND('Команда'!$C$12&lt;=20,'Команда'!$D$12&gt;=20,'Команда'!$G$12="Штат"),'Команда'!$B$12,0)+IF(AND('Команда'!$C$13&lt;=20,'Команда'!$D$13&gt;=20,'Команда'!$G$13="Штат"),'Команда'!$B$13,0)+IF(AND('Команда'!$C$14&lt;=20,'Команда'!$D$14&gt;=20,'Команда'!$G$14="Штат"),'Команда'!$B$14,0)+IF(AND('Команда'!$C$15&lt;=20,'Команда'!$D$15&gt;=20,'Команда'!$G$15="Штат"),'Команда'!$B$15,0)+IF(AND('Команда'!$C$16&lt;=20,'Команда'!$D$16&gt;=20,'Команда'!$G$16="Штат"),'Команда'!$B$16,0)</x:f>
        <x:v>3200000</x:v>
      </x:c>
      <x:c r="AD83" s="299" t="n">
        <x:f>IF(AND('Команда'!$C$4&lt;=21,'Команда'!$D$4&gt;=21,'Команда'!$G$4="Штат"),'Команда'!$B$4,0)+IF(AND('Команда'!$C$5&lt;=21,'Команда'!$D$5&gt;=21,'Команда'!$G$5="Штат"),'Команда'!$B$5,0)+IF(AND('Команда'!$C$6&lt;=21,'Команда'!$D$6&gt;=21,'Команда'!$G$6="Штат"),'Команда'!$B$6,0)+IF(AND('Команда'!$C$7&lt;=21,'Команда'!$D$7&gt;=21,'Команда'!$G$7="Штат"),'Команда'!$B$7,0)+IF(AND('Команда'!$C$8&lt;=21,'Команда'!$D$8&gt;=21,'Команда'!$G$8="Штат"),'Команда'!$B$8,0)+IF(AND('Команда'!$C$9&lt;=21,'Команда'!$D$9&gt;=21,'Команда'!$G$9="Штат"),'Команда'!$B$9,0)+IF(AND('Команда'!$C$10&lt;=21,'Команда'!$D$10&gt;=21,'Команда'!$G$10="Штат"),'Команда'!$B$10,0)+IF(AND('Команда'!$C$11&lt;=21,'Команда'!$D$11&gt;=21,'Команда'!$G$11="Штат"),'Команда'!$B$11,0)+IF(AND('Команда'!$C$12&lt;=21,'Команда'!$D$12&gt;=21,'Команда'!$G$12="Штат"),'Команда'!$B$12,0)+IF(AND('Команда'!$C$13&lt;=21,'Команда'!$D$13&gt;=21,'Команда'!$G$13="Штат"),'Команда'!$B$13,0)+IF(AND('Команда'!$C$14&lt;=21,'Команда'!$D$14&gt;=21,'Команда'!$G$14="Штат"),'Команда'!$B$14,0)+IF(AND('Команда'!$C$15&lt;=21,'Команда'!$D$15&gt;=21,'Команда'!$G$15="Штат"),'Команда'!$B$15,0)+IF(AND('Команда'!$C$16&lt;=21,'Команда'!$D$16&gt;=21,'Команда'!$G$16="Штат"),'Команда'!$B$16,0)</x:f>
        <x:v>3200000</x:v>
      </x:c>
      <x:c r="AE83" s="299" t="n">
        <x:f>IF(AND('Команда'!$C$4&lt;=22,'Команда'!$D$4&gt;=22,'Команда'!$G$4="Штат"),'Команда'!$B$4,0)+IF(AND('Команда'!$C$5&lt;=22,'Команда'!$D$5&gt;=22,'Команда'!$G$5="Штат"),'Команда'!$B$5,0)+IF(AND('Команда'!$C$6&lt;=22,'Команда'!$D$6&gt;=22,'Команда'!$G$6="Штат"),'Команда'!$B$6,0)+IF(AND('Команда'!$C$7&lt;=22,'Команда'!$D$7&gt;=22,'Команда'!$G$7="Штат"),'Команда'!$B$7,0)+IF(AND('Команда'!$C$8&lt;=22,'Команда'!$D$8&gt;=22,'Команда'!$G$8="Штат"),'Команда'!$B$8,0)+IF(AND('Команда'!$C$9&lt;=22,'Команда'!$D$9&gt;=22,'Команда'!$G$9="Штат"),'Команда'!$B$9,0)+IF(AND('Команда'!$C$10&lt;=22,'Команда'!$D$10&gt;=22,'Команда'!$G$10="Штат"),'Команда'!$B$10,0)+IF(AND('Команда'!$C$11&lt;=22,'Команда'!$D$11&gt;=22,'Команда'!$G$11="Штат"),'Команда'!$B$11,0)+IF(AND('Команда'!$C$12&lt;=22,'Команда'!$D$12&gt;=22,'Команда'!$G$12="Штат"),'Команда'!$B$12,0)+IF(AND('Команда'!$C$13&lt;=22,'Команда'!$D$13&gt;=22,'Команда'!$G$13="Штат"),'Команда'!$B$13,0)+IF(AND('Команда'!$C$14&lt;=22,'Команда'!$D$14&gt;=22,'Команда'!$G$14="Штат"),'Команда'!$B$14,0)+IF(AND('Команда'!$C$15&lt;=22,'Команда'!$D$15&gt;=22,'Команда'!$G$15="Штат"),'Команда'!$B$15,0)+IF(AND('Команда'!$C$16&lt;=22,'Команда'!$D$16&gt;=22,'Команда'!$G$16="Штат"),'Команда'!$B$16,0)</x:f>
        <x:v>3200000</x:v>
      </x:c>
      <x:c r="AF83" s="299" t="n">
        <x:f>IF(AND('Команда'!$C$4&lt;=23,'Команда'!$D$4&gt;=23,'Команда'!$G$4="Штат"),'Команда'!$B$4,0)+IF(AND('Команда'!$C$5&lt;=23,'Команда'!$D$5&gt;=23,'Команда'!$G$5="Штат"),'Команда'!$B$5,0)+IF(AND('Команда'!$C$6&lt;=23,'Команда'!$D$6&gt;=23,'Команда'!$G$6="Штат"),'Команда'!$B$6,0)+IF(AND('Команда'!$C$7&lt;=23,'Команда'!$D$7&gt;=23,'Команда'!$G$7="Штат"),'Команда'!$B$7,0)+IF(AND('Команда'!$C$8&lt;=23,'Команда'!$D$8&gt;=23,'Команда'!$G$8="Штат"),'Команда'!$B$8,0)+IF(AND('Команда'!$C$9&lt;=23,'Команда'!$D$9&gt;=23,'Команда'!$G$9="Штат"),'Команда'!$B$9,0)+IF(AND('Команда'!$C$10&lt;=23,'Команда'!$D$10&gt;=23,'Команда'!$G$10="Штат"),'Команда'!$B$10,0)+IF(AND('Команда'!$C$11&lt;=23,'Команда'!$D$11&gt;=23,'Команда'!$G$11="Штат"),'Команда'!$B$11,0)+IF(AND('Команда'!$C$12&lt;=23,'Команда'!$D$12&gt;=23,'Команда'!$G$12="Штат"),'Команда'!$B$12,0)+IF(AND('Команда'!$C$13&lt;=23,'Команда'!$D$13&gt;=23,'Команда'!$G$13="Штат"),'Команда'!$B$13,0)+IF(AND('Команда'!$C$14&lt;=23,'Команда'!$D$14&gt;=23,'Команда'!$G$14="Штат"),'Команда'!$B$14,0)+IF(AND('Команда'!$C$15&lt;=23,'Команда'!$D$15&gt;=23,'Команда'!$G$15="Штат"),'Команда'!$B$15,0)+IF(AND('Команда'!$C$16&lt;=23,'Команда'!$D$16&gt;=23,'Команда'!$G$16="Штат"),'Команда'!$B$16,0)</x:f>
        <x:v>3200000</x:v>
      </x:c>
      <x:c r="AG83" s="299" t="n">
        <x:f>IF(AND('Команда'!$C$4&lt;=24,'Команда'!$D$4&gt;=24,'Команда'!$G$4="Штат"),'Команда'!$B$4,0)+IF(AND('Команда'!$C$5&lt;=24,'Команда'!$D$5&gt;=24,'Команда'!$G$5="Штат"),'Команда'!$B$5,0)+IF(AND('Команда'!$C$6&lt;=24,'Команда'!$D$6&gt;=24,'Команда'!$G$6="Штат"),'Команда'!$B$6,0)+IF(AND('Команда'!$C$7&lt;=24,'Команда'!$D$7&gt;=24,'Команда'!$G$7="Штат"),'Команда'!$B$7,0)+IF(AND('Команда'!$C$8&lt;=24,'Команда'!$D$8&gt;=24,'Команда'!$G$8="Штат"),'Команда'!$B$8,0)+IF(AND('Команда'!$C$9&lt;=24,'Команда'!$D$9&gt;=24,'Команда'!$G$9="Штат"),'Команда'!$B$9,0)+IF(AND('Команда'!$C$10&lt;=24,'Команда'!$D$10&gt;=24,'Команда'!$G$10="Штат"),'Команда'!$B$10,0)+IF(AND('Команда'!$C$11&lt;=24,'Команда'!$D$11&gt;=24,'Команда'!$G$11="Штат"),'Команда'!$B$11,0)+IF(AND('Команда'!$C$12&lt;=24,'Команда'!$D$12&gt;=24,'Команда'!$G$12="Штат"),'Команда'!$B$12,0)+IF(AND('Команда'!$C$13&lt;=24,'Команда'!$D$13&gt;=24,'Команда'!$G$13="Штат"),'Команда'!$B$13,0)+IF(AND('Команда'!$C$14&lt;=24,'Команда'!$D$14&gt;=24,'Команда'!$G$14="Штат"),'Команда'!$B$14,0)+IF(AND('Команда'!$C$15&lt;=24,'Команда'!$D$15&gt;=24,'Команда'!$G$15="Штат"),'Команда'!$B$15,0)+IF(AND('Команда'!$C$16&lt;=24,'Команда'!$D$16&gt;=24,'Команда'!$G$16="Штат"),'Команда'!$B$16,0)</x:f>
        <x:v>3200000</x:v>
      </x:c>
      <x:c r="AH83" s="299" t="n">
        <x:f>IF(AND('Команда'!$C$4&lt;=25,'Команда'!$D$4&gt;=25,'Команда'!$G$4="Штат"),'Команда'!$B$4,0)+IF(AND('Команда'!$C$5&lt;=25,'Команда'!$D$5&gt;=25,'Команда'!$G$5="Штат"),'Команда'!$B$5,0)+IF(AND('Команда'!$C$6&lt;=25,'Команда'!$D$6&gt;=25,'Команда'!$G$6="Штат"),'Команда'!$B$6,0)+IF(AND('Команда'!$C$7&lt;=25,'Команда'!$D$7&gt;=25,'Команда'!$G$7="Штат"),'Команда'!$B$7,0)+IF(AND('Команда'!$C$8&lt;=25,'Команда'!$D$8&gt;=25,'Команда'!$G$8="Штат"),'Команда'!$B$8,0)+IF(AND('Команда'!$C$9&lt;=25,'Команда'!$D$9&gt;=25,'Команда'!$G$9="Штат"),'Команда'!$B$9,0)+IF(AND('Команда'!$C$10&lt;=25,'Команда'!$D$10&gt;=25,'Команда'!$G$10="Штат"),'Команда'!$B$10,0)+IF(AND('Команда'!$C$11&lt;=25,'Команда'!$D$11&gt;=25,'Команда'!$G$11="Штат"),'Команда'!$B$11,0)+IF(AND('Команда'!$C$12&lt;=25,'Команда'!$D$12&gt;=25,'Команда'!$G$12="Штат"),'Команда'!$B$12,0)+IF(AND('Команда'!$C$13&lt;=25,'Команда'!$D$13&gt;=25,'Команда'!$G$13="Штат"),'Команда'!$B$13,0)+IF(AND('Команда'!$C$14&lt;=25,'Команда'!$D$14&gt;=25,'Команда'!$G$14="Штат"),'Команда'!$B$14,0)+IF(AND('Команда'!$C$15&lt;=25,'Команда'!$D$15&gt;=25,'Команда'!$G$15="Штат"),'Команда'!$B$15,0)+IF(AND('Команда'!$C$16&lt;=25,'Команда'!$D$16&gt;=25,'Команда'!$G$16="Штат"),'Команда'!$B$16,0)</x:f>
        <x:v>3200000</x:v>
      </x:c>
      <x:c r="AI83" s="299" t="n">
        <x:f>IF(AND('Команда'!$C$4&lt;=26,'Команда'!$D$4&gt;=26,'Команда'!$G$4="Штат"),'Команда'!$B$4,0)+IF(AND('Команда'!$C$5&lt;=26,'Команда'!$D$5&gt;=26,'Команда'!$G$5="Штат"),'Команда'!$B$5,0)+IF(AND('Команда'!$C$6&lt;=26,'Команда'!$D$6&gt;=26,'Команда'!$G$6="Штат"),'Команда'!$B$6,0)+IF(AND('Команда'!$C$7&lt;=26,'Команда'!$D$7&gt;=26,'Команда'!$G$7="Штат"),'Команда'!$B$7,0)+IF(AND('Команда'!$C$8&lt;=26,'Команда'!$D$8&gt;=26,'Команда'!$G$8="Штат"),'Команда'!$B$8,0)+IF(AND('Команда'!$C$9&lt;=26,'Команда'!$D$9&gt;=26,'Команда'!$G$9="Штат"),'Команда'!$B$9,0)+IF(AND('Команда'!$C$10&lt;=26,'Команда'!$D$10&gt;=26,'Команда'!$G$10="Штат"),'Команда'!$B$10,0)+IF(AND('Команда'!$C$11&lt;=26,'Команда'!$D$11&gt;=26,'Команда'!$G$11="Штат"),'Команда'!$B$11,0)+IF(AND('Команда'!$C$12&lt;=26,'Команда'!$D$12&gt;=26,'Команда'!$G$12="Штат"),'Команда'!$B$12,0)+IF(AND('Команда'!$C$13&lt;=26,'Команда'!$D$13&gt;=26,'Команда'!$G$13="Штат"),'Команда'!$B$13,0)+IF(AND('Команда'!$C$14&lt;=26,'Команда'!$D$14&gt;=26,'Команда'!$G$14="Штат"),'Команда'!$B$14,0)+IF(AND('Команда'!$C$15&lt;=26,'Команда'!$D$15&gt;=26,'Команда'!$G$15="Штат"),'Команда'!$B$15,0)+IF(AND('Команда'!$C$16&lt;=26,'Команда'!$D$16&gt;=26,'Команда'!$G$16="Штат"),'Команда'!$B$16,0)</x:f>
        <x:v>3200000</x:v>
      </x:c>
      <x:c r="AJ83" s="299" t="n">
        <x:f>IF(AND('Команда'!$C$4&lt;=27,'Команда'!$D$4&gt;=27,'Команда'!$G$4="Штат"),'Команда'!$B$4,0)+IF(AND('Команда'!$C$5&lt;=27,'Команда'!$D$5&gt;=27,'Команда'!$G$5="Штат"),'Команда'!$B$5,0)+IF(AND('Команда'!$C$6&lt;=27,'Команда'!$D$6&gt;=27,'Команда'!$G$6="Штат"),'Команда'!$B$6,0)+IF(AND('Команда'!$C$7&lt;=27,'Команда'!$D$7&gt;=27,'Команда'!$G$7="Штат"),'Команда'!$B$7,0)+IF(AND('Команда'!$C$8&lt;=27,'Команда'!$D$8&gt;=27,'Команда'!$G$8="Штат"),'Команда'!$B$8,0)+IF(AND('Команда'!$C$9&lt;=27,'Команда'!$D$9&gt;=27,'Команда'!$G$9="Штат"),'Команда'!$B$9,0)+IF(AND('Команда'!$C$10&lt;=27,'Команда'!$D$10&gt;=27,'Команда'!$G$10="Штат"),'Команда'!$B$10,0)+IF(AND('Команда'!$C$11&lt;=27,'Команда'!$D$11&gt;=27,'Команда'!$G$11="Штат"),'Команда'!$B$11,0)+IF(AND('Команда'!$C$12&lt;=27,'Команда'!$D$12&gt;=27,'Команда'!$G$12="Штат"),'Команда'!$B$12,0)+IF(AND('Команда'!$C$13&lt;=27,'Команда'!$D$13&gt;=27,'Команда'!$G$13="Штат"),'Команда'!$B$13,0)+IF(AND('Команда'!$C$14&lt;=27,'Команда'!$D$14&gt;=27,'Команда'!$G$14="Штат"),'Команда'!$B$14,0)+IF(AND('Команда'!$C$15&lt;=27,'Команда'!$D$15&gt;=27,'Команда'!$G$15="Штат"),'Команда'!$B$15,0)+IF(AND('Команда'!$C$16&lt;=27,'Команда'!$D$16&gt;=27,'Команда'!$G$16="Штат"),'Команда'!$B$16,0)</x:f>
        <x:v>3200000</x:v>
      </x:c>
      <x:c r="AK83" s="299" t="n">
        <x:f>IF(AND('Команда'!$C$4&lt;=28,'Команда'!$D$4&gt;=28,'Команда'!$G$4="Штат"),'Команда'!$B$4,0)+IF(AND('Команда'!$C$5&lt;=28,'Команда'!$D$5&gt;=28,'Команда'!$G$5="Штат"),'Команда'!$B$5,0)+IF(AND('Команда'!$C$6&lt;=28,'Команда'!$D$6&gt;=28,'Команда'!$G$6="Штат"),'Команда'!$B$6,0)+IF(AND('Команда'!$C$7&lt;=28,'Команда'!$D$7&gt;=28,'Команда'!$G$7="Штат"),'Команда'!$B$7,0)+IF(AND('Команда'!$C$8&lt;=28,'Команда'!$D$8&gt;=28,'Команда'!$G$8="Штат"),'Команда'!$B$8,0)+IF(AND('Команда'!$C$9&lt;=28,'Команда'!$D$9&gt;=28,'Команда'!$G$9="Штат"),'Команда'!$B$9,0)+IF(AND('Команда'!$C$10&lt;=28,'Команда'!$D$10&gt;=28,'Команда'!$G$10="Штат"),'Команда'!$B$10,0)+IF(AND('Команда'!$C$11&lt;=28,'Команда'!$D$11&gt;=28,'Команда'!$G$11="Штат"),'Команда'!$B$11,0)+IF(AND('Команда'!$C$12&lt;=28,'Команда'!$D$12&gt;=28,'Команда'!$G$12="Штат"),'Команда'!$B$12,0)+IF(AND('Команда'!$C$13&lt;=28,'Команда'!$D$13&gt;=28,'Команда'!$G$13="Штат"),'Команда'!$B$13,0)+IF(AND('Команда'!$C$14&lt;=28,'Команда'!$D$14&gt;=28,'Команда'!$G$14="Штат"),'Команда'!$B$14,0)+IF(AND('Команда'!$C$15&lt;=28,'Команда'!$D$15&gt;=28,'Команда'!$G$15="Штат"),'Команда'!$B$15,0)+IF(AND('Команда'!$C$16&lt;=28,'Команда'!$D$16&gt;=28,'Команда'!$G$16="Штат"),'Команда'!$B$16,0)</x:f>
        <x:v>3200000</x:v>
      </x:c>
      <x:c r="AL83" s="299" t="n">
        <x:f>IF(AND('Команда'!$C$4&lt;=29,'Команда'!$D$4&gt;=29,'Команда'!$G$4="Штат"),'Команда'!$B$4,0)+IF(AND('Команда'!$C$5&lt;=29,'Команда'!$D$5&gt;=29,'Команда'!$G$5="Штат"),'Команда'!$B$5,0)+IF(AND('Команда'!$C$6&lt;=29,'Команда'!$D$6&gt;=29,'Команда'!$G$6="Штат"),'Команда'!$B$6,0)+IF(AND('Команда'!$C$7&lt;=29,'Команда'!$D$7&gt;=29,'Команда'!$G$7="Штат"),'Команда'!$B$7,0)+IF(AND('Команда'!$C$8&lt;=29,'Команда'!$D$8&gt;=29,'Команда'!$G$8="Штат"),'Команда'!$B$8,0)+IF(AND('Команда'!$C$9&lt;=29,'Команда'!$D$9&gt;=29,'Команда'!$G$9="Штат"),'Команда'!$B$9,0)+IF(AND('Команда'!$C$10&lt;=29,'Команда'!$D$10&gt;=29,'Команда'!$G$10="Штат"),'Команда'!$B$10,0)+IF(AND('Команда'!$C$11&lt;=29,'Команда'!$D$11&gt;=29,'Команда'!$G$11="Штат"),'Команда'!$B$11,0)+IF(AND('Команда'!$C$12&lt;=29,'Команда'!$D$12&gt;=29,'Команда'!$G$12="Штат"),'Команда'!$B$12,0)+IF(AND('Команда'!$C$13&lt;=29,'Команда'!$D$13&gt;=29,'Команда'!$G$13="Штат"),'Команда'!$B$13,0)+IF(AND('Команда'!$C$14&lt;=29,'Команда'!$D$14&gt;=29,'Команда'!$G$14="Штат"),'Команда'!$B$14,0)+IF(AND('Команда'!$C$15&lt;=29,'Команда'!$D$15&gt;=29,'Команда'!$G$15="Штат"),'Команда'!$B$15,0)+IF(AND('Команда'!$C$16&lt;=29,'Команда'!$D$16&gt;=29,'Команда'!$G$16="Штат"),'Команда'!$B$16,0)</x:f>
        <x:v>3200000</x:v>
      </x:c>
      <x:c r="AM83" s="299" t="n">
        <x:f>IF(AND('Команда'!$C$4&lt;=30,'Команда'!$D$4&gt;=30,'Команда'!$G$4="Штат"),'Команда'!$B$4,0)+IF(AND('Команда'!$C$5&lt;=30,'Команда'!$D$5&gt;=30,'Команда'!$G$5="Штат"),'Команда'!$B$5,0)+IF(AND('Команда'!$C$6&lt;=30,'Команда'!$D$6&gt;=30,'Команда'!$G$6="Штат"),'Команда'!$B$6,0)+IF(AND('Команда'!$C$7&lt;=30,'Команда'!$D$7&gt;=30,'Команда'!$G$7="Штат"),'Команда'!$B$7,0)+IF(AND('Команда'!$C$8&lt;=30,'Команда'!$D$8&gt;=30,'Команда'!$G$8="Штат"),'Команда'!$B$8,0)+IF(AND('Команда'!$C$9&lt;=30,'Команда'!$D$9&gt;=30,'Команда'!$G$9="Штат"),'Команда'!$B$9,0)+IF(AND('Команда'!$C$10&lt;=30,'Команда'!$D$10&gt;=30,'Команда'!$G$10="Штат"),'Команда'!$B$10,0)+IF(AND('Команда'!$C$11&lt;=30,'Команда'!$D$11&gt;=30,'Команда'!$G$11="Штат"),'Команда'!$B$11,0)+IF(AND('Команда'!$C$12&lt;=30,'Команда'!$D$12&gt;=30,'Команда'!$G$12="Штат"),'Команда'!$B$12,0)+IF(AND('Команда'!$C$13&lt;=30,'Команда'!$D$13&gt;=30,'Команда'!$G$13="Штат"),'Команда'!$B$13,0)+IF(AND('Команда'!$C$14&lt;=30,'Команда'!$D$14&gt;=30,'Команда'!$G$14="Штат"),'Команда'!$B$14,0)+IF(AND('Команда'!$C$15&lt;=30,'Команда'!$D$15&gt;=30,'Команда'!$G$15="Штат"),'Команда'!$B$15,0)+IF(AND('Команда'!$C$16&lt;=30,'Команда'!$D$16&gt;=30,'Команда'!$G$16="Штат"),'Команда'!$B$16,0)</x:f>
        <x:v>3200000</x:v>
      </x:c>
      <x:c r="AN83" s="299" t="n">
        <x:f>IF(AND('Команда'!$C$4&lt;=31,'Команда'!$D$4&gt;=31,'Команда'!$G$4="Штат"),'Команда'!$B$4,0)+IF(AND('Команда'!$C$5&lt;=31,'Команда'!$D$5&gt;=31,'Команда'!$G$5="Штат"),'Команда'!$B$5,0)+IF(AND('Команда'!$C$6&lt;=31,'Команда'!$D$6&gt;=31,'Команда'!$G$6="Штат"),'Команда'!$B$6,0)+IF(AND('Команда'!$C$7&lt;=31,'Команда'!$D$7&gt;=31,'Команда'!$G$7="Штат"),'Команда'!$B$7,0)+IF(AND('Команда'!$C$8&lt;=31,'Команда'!$D$8&gt;=31,'Команда'!$G$8="Штат"),'Команда'!$B$8,0)+IF(AND('Команда'!$C$9&lt;=31,'Команда'!$D$9&gt;=31,'Команда'!$G$9="Штат"),'Команда'!$B$9,0)+IF(AND('Команда'!$C$10&lt;=31,'Команда'!$D$10&gt;=31,'Команда'!$G$10="Штат"),'Команда'!$B$10,0)+IF(AND('Команда'!$C$11&lt;=31,'Команда'!$D$11&gt;=31,'Команда'!$G$11="Штат"),'Команда'!$B$11,0)+IF(AND('Команда'!$C$12&lt;=31,'Команда'!$D$12&gt;=31,'Команда'!$G$12="Штат"),'Команда'!$B$12,0)+IF(AND('Команда'!$C$13&lt;=31,'Команда'!$D$13&gt;=31,'Команда'!$G$13="Штат"),'Команда'!$B$13,0)+IF(AND('Команда'!$C$14&lt;=31,'Команда'!$D$14&gt;=31,'Команда'!$G$14="Штат"),'Команда'!$B$14,0)+IF(AND('Команда'!$C$15&lt;=31,'Команда'!$D$15&gt;=31,'Команда'!$G$15="Штат"),'Команда'!$B$15,0)+IF(AND('Команда'!$C$16&lt;=31,'Команда'!$D$16&gt;=31,'Команда'!$G$16="Штат"),'Команда'!$B$16,0)</x:f>
        <x:v>3200000</x:v>
      </x:c>
      <x:c r="AO83" s="299" t="n">
        <x:f>IF(AND('Команда'!$C$4&lt;=32,'Команда'!$D$4&gt;=32,'Команда'!$G$4="Штат"),'Команда'!$B$4,0)+IF(AND('Команда'!$C$5&lt;=32,'Команда'!$D$5&gt;=32,'Команда'!$G$5="Штат"),'Команда'!$B$5,0)+IF(AND('Команда'!$C$6&lt;=32,'Команда'!$D$6&gt;=32,'Команда'!$G$6="Штат"),'Команда'!$B$6,0)+IF(AND('Команда'!$C$7&lt;=32,'Команда'!$D$7&gt;=32,'Команда'!$G$7="Штат"),'Команда'!$B$7,0)+IF(AND('Команда'!$C$8&lt;=32,'Команда'!$D$8&gt;=32,'Команда'!$G$8="Штат"),'Команда'!$B$8,0)+IF(AND('Команда'!$C$9&lt;=32,'Команда'!$D$9&gt;=32,'Команда'!$G$9="Штат"),'Команда'!$B$9,0)+IF(AND('Команда'!$C$10&lt;=32,'Команда'!$D$10&gt;=32,'Команда'!$G$10="Штат"),'Команда'!$B$10,0)+IF(AND('Команда'!$C$11&lt;=32,'Команда'!$D$11&gt;=32,'Команда'!$G$11="Штат"),'Команда'!$B$11,0)+IF(AND('Команда'!$C$12&lt;=32,'Команда'!$D$12&gt;=32,'Команда'!$G$12="Штат"),'Команда'!$B$12,0)+IF(AND('Команда'!$C$13&lt;=32,'Команда'!$D$13&gt;=32,'Команда'!$G$13="Штат"),'Команда'!$B$13,0)+IF(AND('Команда'!$C$14&lt;=32,'Команда'!$D$14&gt;=32,'Команда'!$G$14="Штат"),'Команда'!$B$14,0)+IF(AND('Команда'!$C$15&lt;=32,'Команда'!$D$15&gt;=32,'Команда'!$G$15="Штат"),'Команда'!$B$15,0)+IF(AND('Команда'!$C$16&lt;=32,'Команда'!$D$16&gt;=32,'Команда'!$G$16="Штат"),'Команда'!$B$16,0)</x:f>
        <x:v>3200000</x:v>
      </x:c>
      <x:c r="AP83" s="299" t="n">
        <x:f>IF(AND('Команда'!$C$4&lt;=33,'Команда'!$D$4&gt;=33,'Команда'!$G$4="Штат"),'Команда'!$B$4,0)+IF(AND('Команда'!$C$5&lt;=33,'Команда'!$D$5&gt;=33,'Команда'!$G$5="Штат"),'Команда'!$B$5,0)+IF(AND('Команда'!$C$6&lt;=33,'Команда'!$D$6&gt;=33,'Команда'!$G$6="Штат"),'Команда'!$B$6,0)+IF(AND('Команда'!$C$7&lt;=33,'Команда'!$D$7&gt;=33,'Команда'!$G$7="Штат"),'Команда'!$B$7,0)+IF(AND('Команда'!$C$8&lt;=33,'Команда'!$D$8&gt;=33,'Команда'!$G$8="Штат"),'Команда'!$B$8,0)+IF(AND('Команда'!$C$9&lt;=33,'Команда'!$D$9&gt;=33,'Команда'!$G$9="Штат"),'Команда'!$B$9,0)+IF(AND('Команда'!$C$10&lt;=33,'Команда'!$D$10&gt;=33,'Команда'!$G$10="Штат"),'Команда'!$B$10,0)+IF(AND('Команда'!$C$11&lt;=33,'Команда'!$D$11&gt;=33,'Команда'!$G$11="Штат"),'Команда'!$B$11,0)+IF(AND('Команда'!$C$12&lt;=33,'Команда'!$D$12&gt;=33,'Команда'!$G$12="Штат"),'Команда'!$B$12,0)+IF(AND('Команда'!$C$13&lt;=33,'Команда'!$D$13&gt;=33,'Команда'!$G$13="Штат"),'Команда'!$B$13,0)+IF(AND('Команда'!$C$14&lt;=33,'Команда'!$D$14&gt;=33,'Команда'!$G$14="Штат"),'Команда'!$B$14,0)+IF(AND('Команда'!$C$15&lt;=33,'Команда'!$D$15&gt;=33,'Команда'!$G$15="Штат"),'Команда'!$B$15,0)+IF(AND('Команда'!$C$16&lt;=33,'Команда'!$D$16&gt;=33,'Команда'!$G$16="Штат"),'Команда'!$B$16,0)</x:f>
        <x:v>3200000</x:v>
      </x:c>
      <x:c r="AQ83" s="299" t="n">
        <x:f>IF(AND('Команда'!$C$4&lt;=34,'Команда'!$D$4&gt;=34,'Команда'!$G$4="Штат"),'Команда'!$B$4,0)+IF(AND('Команда'!$C$5&lt;=34,'Команда'!$D$5&gt;=34,'Команда'!$G$5="Штат"),'Команда'!$B$5,0)+IF(AND('Команда'!$C$6&lt;=34,'Команда'!$D$6&gt;=34,'Команда'!$G$6="Штат"),'Команда'!$B$6,0)+IF(AND('Команда'!$C$7&lt;=34,'Команда'!$D$7&gt;=34,'Команда'!$G$7="Штат"),'Команда'!$B$7,0)+IF(AND('Команда'!$C$8&lt;=34,'Команда'!$D$8&gt;=34,'Команда'!$G$8="Штат"),'Команда'!$B$8,0)+IF(AND('Команда'!$C$9&lt;=34,'Команда'!$D$9&gt;=34,'Команда'!$G$9="Штат"),'Команда'!$B$9,0)+IF(AND('Команда'!$C$10&lt;=34,'Команда'!$D$10&gt;=34,'Команда'!$G$10="Штат"),'Команда'!$B$10,0)+IF(AND('Команда'!$C$11&lt;=34,'Команда'!$D$11&gt;=34,'Команда'!$G$11="Штат"),'Команда'!$B$11,0)+IF(AND('Команда'!$C$12&lt;=34,'Команда'!$D$12&gt;=34,'Команда'!$G$12="Штат"),'Команда'!$B$12,0)+IF(AND('Команда'!$C$13&lt;=34,'Команда'!$D$13&gt;=34,'Команда'!$G$13="Штат"),'Команда'!$B$13,0)+IF(AND('Команда'!$C$14&lt;=34,'Команда'!$D$14&gt;=34,'Команда'!$G$14="Штат"),'Команда'!$B$14,0)+IF(AND('Команда'!$C$15&lt;=34,'Команда'!$D$15&gt;=34,'Команда'!$G$15="Штат"),'Команда'!$B$15,0)+IF(AND('Команда'!$C$16&lt;=34,'Команда'!$D$16&gt;=34,'Команда'!$G$16="Штат"),'Команда'!$B$16,0)</x:f>
        <x:v>3200000</x:v>
      </x:c>
      <x:c r="AR83" s="299" t="n">
        <x:f>IF(AND('Команда'!$C$4&lt;=35,'Команда'!$D$4&gt;=35,'Команда'!$G$4="Штат"),'Команда'!$B$4,0)+IF(AND('Команда'!$C$5&lt;=35,'Команда'!$D$5&gt;=35,'Команда'!$G$5="Штат"),'Команда'!$B$5,0)+IF(AND('Команда'!$C$6&lt;=35,'Команда'!$D$6&gt;=35,'Команда'!$G$6="Штат"),'Команда'!$B$6,0)+IF(AND('Команда'!$C$7&lt;=35,'Команда'!$D$7&gt;=35,'Команда'!$G$7="Штат"),'Команда'!$B$7,0)+IF(AND('Команда'!$C$8&lt;=35,'Команда'!$D$8&gt;=35,'Команда'!$G$8="Штат"),'Команда'!$B$8,0)+IF(AND('Команда'!$C$9&lt;=35,'Команда'!$D$9&gt;=35,'Команда'!$G$9="Штат"),'Команда'!$B$9,0)+IF(AND('Команда'!$C$10&lt;=35,'Команда'!$D$10&gt;=35,'Команда'!$G$10="Штат"),'Команда'!$B$10,0)+IF(AND('Команда'!$C$11&lt;=35,'Команда'!$D$11&gt;=35,'Команда'!$G$11="Штат"),'Команда'!$B$11,0)+IF(AND('Команда'!$C$12&lt;=35,'Команда'!$D$12&gt;=35,'Команда'!$G$12="Штат"),'Команда'!$B$12,0)+IF(AND('Команда'!$C$13&lt;=35,'Команда'!$D$13&gt;=35,'Команда'!$G$13="Штат"),'Команда'!$B$13,0)+IF(AND('Команда'!$C$14&lt;=35,'Команда'!$D$14&gt;=35,'Команда'!$G$14="Штат"),'Команда'!$B$14,0)+IF(AND('Команда'!$C$15&lt;=35,'Команда'!$D$15&gt;=35,'Команда'!$G$15="Штат"),'Команда'!$B$15,0)+IF(AND('Команда'!$C$16&lt;=35,'Команда'!$D$16&gt;=35,'Команда'!$G$16="Штат"),'Команда'!$B$16,0)</x:f>
        <x:v>3200000</x:v>
      </x:c>
      <x:c r="AS83" s="299" t="n">
        <x:f>IF(AND('Команда'!$C$4&lt;=36,'Команда'!$D$4&gt;=36,'Команда'!$G$4="Штат"),'Команда'!$B$4,0)+IF(AND('Команда'!$C$5&lt;=36,'Команда'!$D$5&gt;=36,'Команда'!$G$5="Штат"),'Команда'!$B$5,0)+IF(AND('Команда'!$C$6&lt;=36,'Команда'!$D$6&gt;=36,'Команда'!$G$6="Штат"),'Команда'!$B$6,0)+IF(AND('Команда'!$C$7&lt;=36,'Команда'!$D$7&gt;=36,'Команда'!$G$7="Штат"),'Команда'!$B$7,0)+IF(AND('Команда'!$C$8&lt;=36,'Команда'!$D$8&gt;=36,'Команда'!$G$8="Штат"),'Команда'!$B$8,0)+IF(AND('Команда'!$C$9&lt;=36,'Команда'!$D$9&gt;=36,'Команда'!$G$9="Штат"),'Команда'!$B$9,0)+IF(AND('Команда'!$C$10&lt;=36,'Команда'!$D$10&gt;=36,'Команда'!$G$10="Штат"),'Команда'!$B$10,0)+IF(AND('Команда'!$C$11&lt;=36,'Команда'!$D$11&gt;=36,'Команда'!$G$11="Штат"),'Команда'!$B$11,0)+IF(AND('Команда'!$C$12&lt;=36,'Команда'!$D$12&gt;=36,'Команда'!$G$12="Штат"),'Команда'!$B$12,0)+IF(AND('Команда'!$C$13&lt;=36,'Команда'!$D$13&gt;=36,'Команда'!$G$13="Штат"),'Команда'!$B$13,0)+IF(AND('Команда'!$C$14&lt;=36,'Команда'!$D$14&gt;=36,'Команда'!$G$14="Штат"),'Команда'!$B$14,0)+IF(AND('Команда'!$C$15&lt;=36,'Команда'!$D$15&gt;=36,'Команда'!$G$15="Штат"),'Команда'!$B$15,0)+IF(AND('Команда'!$C$16&lt;=36,'Команда'!$D$16&gt;=36,'Команда'!$G$16="Штат"),'Команда'!$B$16,0)</x:f>
        <x:v>3200000</x:v>
      </x:c>
    </x:row>
    <x:row r="84">
      <x:c r="A84" s="370" t="str">
        <x:v>НДС</x:v>
      </x:c>
      <x:c r="B84" s="32" t="str">
        <x:v>VAT exposure считается отдельно; Реестр ПО имеет собственный effective-date.</x:v>
      </x:c>
      <x:c r="C84" s="32"/>
      <x:c r="D84" s="32"/>
      <x:c r="E84" s="32"/>
      <x:c r="F84" s="32"/>
      <x:c r="G84" s="32"/>
      <x:c r="H84" s="32"/>
      <x:c r="I84" s="369" t="str">
        <x:v>Выбранные взносы / мес.</x:v>
      </x:c>
      <x:c r="J84" s="299" t="n">
        <x:f>IF(OR($B$82="Сколково + УСН 6%",$B$82="Сколково + ОСНО (освобождение прибыли)"),IF(AND($B$111&gt;0,1&gt;=$B$111),IFERROR($B$76*J$83/$B$73,0),IFERROR($B$127*J$83/$B$73,0)),IF(AND($B$108&gt;0,1&gt;=$B$108),IFERROR($B$75*J$83/$B$73,0),IFERROR($B$127*J$83/$B$73,0)))</x:f>
        <x:v>589851.8971962617</x:v>
      </x:c>
      <x:c r="K84" s="299" t="n">
        <x:f>IF(OR($B$82="Сколково + УСН 6%",$B$82="Сколково + ОСНО (освобождение прибыли)"),IF(AND($B$111&gt;0,2&gt;=$B$111),IFERROR($B$76*K$83/$B$73,0),IFERROR($B$127*K$83/$B$73,0)),IF(AND($B$108&gt;0,2&gt;=$B$108),IFERROR($B$75*K$83/$B$73,0),IFERROR($B$127*K$83/$B$73,0)))</x:f>
        <x:v>589851.8971962617</x:v>
      </x:c>
      <x:c r="L84" s="299" t="n">
        <x:f>IF(OR($B$82="Сколково + УСН 6%",$B$82="Сколково + ОСНО (освобождение прибыли)"),IF(AND($B$111&gt;0,3&gt;=$B$111),IFERROR($B$76*L$83/$B$73,0),IFERROR($B$127*L$83/$B$73,0)),IF(AND($B$108&gt;0,3&gt;=$B$108),IFERROR($B$75*L$83/$B$73,0),IFERROR($B$127*L$83/$B$73,0)))</x:f>
        <x:v>589851.8971962617</x:v>
      </x:c>
      <x:c r="M84" s="299" t="n">
        <x:f>IF(OR($B$82="Сколково + УСН 6%",$B$82="Сколково + ОСНО (освобождение прибыли)"),IF(AND($B$111&gt;0,4&gt;=$B$111),IFERROR($B$76*M$83/$B$73,0),IFERROR($B$127*M$83/$B$73,0)),IF(AND($B$108&gt;0,4&gt;=$B$108),IFERROR($B$75*M$83/$B$73,0),IFERROR($B$127*M$83/$B$73,0)))</x:f>
        <x:v>658439.3271028037</x:v>
      </x:c>
      <x:c r="N84" s="299" t="n">
        <x:f>IF(OR($B$82="Сколково + УСН 6%",$B$82="Сколково + ОСНО (освобождение прибыли)"),IF(AND($B$111&gt;0,5&gt;=$B$111),IFERROR($B$76*N$83/$B$73,0),IFERROR($B$127*N$83/$B$73,0)),IF(AND($B$108&gt;0,5&gt;=$B$108),IFERROR($B$75*N$83/$B$73,0),IFERROR($B$127*N$83/$B$73,0)))</x:f>
        <x:v>658439.3271028037</x:v>
      </x:c>
      <x:c r="O84" s="299" t="n">
        <x:f>IF(OR($B$82="Сколково + УСН 6%",$B$82="Сколково + ОСНО (освобождение прибыли)"),IF(AND($B$111&gt;0,6&gt;=$B$111),IFERROR($B$76*O$83/$B$73,0),IFERROR($B$127*O$83/$B$73,0)),IF(AND($B$108&gt;0,6&gt;=$B$108),IFERROR($B$75*O$83/$B$73,0),IFERROR($B$127*O$83/$B$73,0)))</x:f>
        <x:v>658439.3271028037</x:v>
      </x:c>
      <x:c r="P84" s="299" t="n">
        <x:f>IF(OR($B$82="Сколково + УСН 6%",$B$82="Сколково + ОСНО (освобождение прибыли)"),IF(AND($B$111&gt;0,7&gt;=$B$111),IFERROR($B$76*P$83/$B$73,0),IFERROR($B$127*P$83/$B$73,0)),IF(AND($B$108&gt;0,7&gt;=$B$108),IFERROR($B$75*P$83/$B$73,0),IFERROR($B$127*P$83/$B$73,0)))</x:f>
        <x:v>809331.6728971963</x:v>
      </x:c>
      <x:c r="Q84" s="299" t="n">
        <x:f>IF(OR($B$82="Сколково + УСН 6%",$B$82="Сколково + ОСНО (освобождение прибыли)"),IF(AND($B$111&gt;0,8&gt;=$B$111),IFERROR($B$76*Q$83/$B$73,0),IFERROR($B$127*Q$83/$B$73,0)),IF(AND($B$108&gt;0,8&gt;=$B$108),IFERROR($B$75*Q$83/$B$73,0),IFERROR($B$127*Q$83/$B$73,0)))</x:f>
        <x:v>809331.6728971963</x:v>
      </x:c>
      <x:c r="R84" s="299" t="n">
        <x:f>IF(OR($B$82="Сколково + УСН 6%",$B$82="Сколково + ОСНО (освобождение прибыли)"),IF(AND($B$111&gt;0,9&gt;=$B$111),IFERROR($B$76*R$83/$B$73,0),IFERROR($B$127*R$83/$B$73,0)),IF(AND($B$108&gt;0,9&gt;=$B$108),IFERROR($B$75*R$83/$B$73,0),IFERROR($B$127*R$83/$B$73,0)))</x:f>
        <x:v>809331.6728971963</x:v>
      </x:c>
      <x:c r="S84" s="299" t="n">
        <x:f>IF(OR($B$82="Сколково + УСН 6%",$B$82="Сколково + ОСНО (освобождение прибыли)"),IF(AND($B$111&gt;0,10&gt;=$B$111),IFERROR($B$76*S$83/$B$73,0),IFERROR($B$127*S$83/$B$73,0)),IF(AND($B$108&gt;0,10&gt;=$B$108),IFERROR($B$75*S$83/$B$73,0),IFERROR($B$127*S$83/$B$73,0)))</x:f>
        <x:v>877919.1028037383</x:v>
      </x:c>
      <x:c r="T84" s="299" t="n">
        <x:f>IF(OR($B$82="Сколково + УСН 6%",$B$82="Сколково + ОСНО (освобождение прибыли)"),IF(AND($B$111&gt;0,11&gt;=$B$111),IFERROR($B$76*T$83/$B$73,0),IFERROR($B$127*T$83/$B$73,0)),IF(AND($B$108&gt;0,11&gt;=$B$108),IFERROR($B$75*T$83/$B$73,0),IFERROR($B$127*T$83/$B$73,0)))</x:f>
        <x:v>877919.1028037383</x:v>
      </x:c>
      <x:c r="U84" s="299" t="n">
        <x:f>IF(OR($B$82="Сколково + УСН 6%",$B$82="Сколково + ОСНО (освобождение прибыли)"),IF(AND($B$111&gt;0,12&gt;=$B$111),IFERROR($B$76*U$83/$B$73,0),IFERROR($B$127*U$83/$B$73,0)),IF(AND($B$108&gt;0,12&gt;=$B$108),IFERROR($B$75*U$83/$B$73,0),IFERROR($B$127*U$83/$B$73,0)))</x:f>
        <x:v>877919.1028037383</x:v>
      </x:c>
      <x:c r="V84" s="299" t="n">
        <x:f>IF(OR($B$82="Сколково + УСН 6%",$B$82="Сколково + ОСНО (освобождение прибыли)"),IF(AND($B$111&gt;0,13&gt;=$B$111),IFERROR($C$76*V$83/$C$73,0),IFERROR($C$127*V$83/$C$73,0)),IF(AND($B$108&gt;0,13&gt;=$B$108),IFERROR($C$75*V$83/$C$73,0),IFERROR($C$127*V$83/$C$73,0)))</x:f>
        <x:v>875703.25</x:v>
      </x:c>
      <x:c r="W84" s="299" t="n">
        <x:f>IF(OR($B$82="Сколково + УСН 6%",$B$82="Сколково + ОСНО (освобождение прибыли)"),IF(AND($B$111&gt;0,14&gt;=$B$111),IFERROR($C$76*W$83/$C$73,0),IFERROR($C$127*W$83/$C$73,0)),IF(AND($B$108&gt;0,14&gt;=$B$108),IFERROR($C$75*W$83/$C$73,0),IFERROR($C$127*W$83/$C$73,0)))</x:f>
        <x:v>875703.25</x:v>
      </x:c>
      <x:c r="X84" s="299" t="n">
        <x:f>IF(OR($B$82="Сколково + УСН 6%",$B$82="Сколково + ОСНО (освобождение прибыли)"),IF(AND($B$111&gt;0,15&gt;=$B$111),IFERROR($C$76*X$83/$C$73,0),IFERROR($C$127*X$83/$C$73,0)),IF(AND($B$108&gt;0,15&gt;=$B$108),IFERROR($C$75*X$83/$C$73,0),IFERROR($C$127*X$83/$C$73,0)))</x:f>
        <x:v>875703.25</x:v>
      </x:c>
      <x:c r="Y84" s="299" t="n">
        <x:f>IF(OR($B$82="Сколково + УСН 6%",$B$82="Сколково + ОСНО (освобождение прибыли)"),IF(AND($B$111&gt;0,16&gt;=$B$111),IFERROR($C$76*Y$83/$C$73,0),IFERROR($C$127*Y$83/$C$73,0)),IF(AND($B$108&gt;0,16&gt;=$B$108),IFERROR($C$75*Y$83/$C$73,0),IFERROR($C$127*Y$83/$C$73,0)))</x:f>
        <x:v>875703.25</x:v>
      </x:c>
      <x:c r="Z84" s="299" t="n">
        <x:f>IF(OR($B$82="Сколково + УСН 6%",$B$82="Сколково + ОСНО (освобождение прибыли)"),IF(AND($B$111&gt;0,17&gt;=$B$111),IFERROR($C$76*Z$83/$C$73,0),IFERROR($C$127*Z$83/$C$73,0)),IF(AND($B$108&gt;0,17&gt;=$B$108),IFERROR($C$75*Z$83/$C$73,0),IFERROR($C$127*Z$83/$C$73,0)))</x:f>
        <x:v>875703.25</x:v>
      </x:c>
      <x:c r="AA84" s="299" t="n">
        <x:f>IF(OR($B$82="Сколково + УСН 6%",$B$82="Сколково + ОСНО (освобождение прибыли)"),IF(AND($B$111&gt;0,18&gt;=$B$111),IFERROR($C$76*AA$83/$C$73,0),IFERROR($C$127*AA$83/$C$73,0)),IF(AND($B$108&gt;0,18&gt;=$B$108),IFERROR($C$75*AA$83/$C$73,0),IFERROR($C$127*AA$83/$C$73,0)))</x:f>
        <x:v>875703.25</x:v>
      </x:c>
      <x:c r="AB84" s="299" t="n">
        <x:f>IF(OR($B$82="Сколково + УСН 6%",$B$82="Сколково + ОСНО (освобождение прибыли)"),IF(AND($B$111&gt;0,19&gt;=$B$111),IFERROR($C$76*AB$83/$C$73,0),IFERROR($C$127*AB$83/$C$73,0)),IF(AND($B$108&gt;0,19&gt;=$B$108),IFERROR($C$75*AB$83/$C$73,0),IFERROR($C$127*AB$83/$C$73,0)))</x:f>
        <x:v>875703.25</x:v>
      </x:c>
      <x:c r="AC84" s="299" t="n">
        <x:f>IF(OR($B$82="Сколково + УСН 6%",$B$82="Сколково + ОСНО (освобождение прибыли)"),IF(AND($B$111&gt;0,20&gt;=$B$111),IFERROR($C$76*AC$83/$C$73,0),IFERROR($C$127*AC$83/$C$73,0)),IF(AND($B$108&gt;0,20&gt;=$B$108),IFERROR($C$75*AC$83/$C$73,0),IFERROR($C$127*AC$83/$C$73,0)))</x:f>
        <x:v>875703.25</x:v>
      </x:c>
      <x:c r="AD84" s="299" t="n">
        <x:f>IF(OR($B$82="Сколково + УСН 6%",$B$82="Сколково + ОСНО (освобождение прибыли)"),IF(AND($B$111&gt;0,21&gt;=$B$111),IFERROR($C$76*AD$83/$C$73,0),IFERROR($C$127*AD$83/$C$73,0)),IF(AND($B$108&gt;0,21&gt;=$B$108),IFERROR($C$75*AD$83/$C$73,0),IFERROR($C$127*AD$83/$C$73,0)))</x:f>
        <x:v>875703.25</x:v>
      </x:c>
      <x:c r="AE84" s="299" t="n">
        <x:f>IF(OR($B$82="Сколково + УСН 6%",$B$82="Сколково + ОСНО (освобождение прибыли)"),IF(AND($B$111&gt;0,22&gt;=$B$111),IFERROR($C$76*AE$83/$C$73,0),IFERROR($C$127*AE$83/$C$73,0)),IF(AND($B$108&gt;0,22&gt;=$B$108),IFERROR($C$75*AE$83/$C$73,0),IFERROR($C$127*AE$83/$C$73,0)))</x:f>
        <x:v>875703.25</x:v>
      </x:c>
      <x:c r="AF84" s="299" t="n">
        <x:f>IF(OR($B$82="Сколково + УСН 6%",$B$82="Сколково + ОСНО (освобождение прибыли)"),IF(AND($B$111&gt;0,23&gt;=$B$111),IFERROR($C$76*AF$83/$C$73,0),IFERROR($C$127*AF$83/$C$73,0)),IF(AND($B$108&gt;0,23&gt;=$B$108),IFERROR($C$75*AF$83/$C$73,0),IFERROR($C$127*AF$83/$C$73,0)))</x:f>
        <x:v>875703.25</x:v>
      </x:c>
      <x:c r="AG84" s="299" t="n">
        <x:f>IF(OR($B$82="Сколково + УСН 6%",$B$82="Сколково + ОСНО (освобождение прибыли)"),IF(AND($B$111&gt;0,24&gt;=$B$111),IFERROR($C$76*AG$83/$C$73,0),IFERROR($C$127*AG$83/$C$73,0)),IF(AND($B$108&gt;0,24&gt;=$B$108),IFERROR($C$75*AG$83/$C$73,0),IFERROR($C$127*AG$83/$C$73,0)))</x:f>
        <x:v>875703.25</x:v>
      </x:c>
      <x:c r="AH84" s="299" t="n">
        <x:f>IF(OR($B$82="Сколково + УСН 6%",$B$82="Сколково + ОСНО (освобождение прибыли)"),IF(AND($B$111&gt;0,25&gt;=$B$111),IFERROR($D$76*AH$83/$D$73,0),IFERROR($D$127*AH$83/$D$73,0)),IF(AND($B$108&gt;0,25&gt;=$B$108),IFERROR($D$75*AH$83/$D$73,0),IFERROR($D$127*AH$83/$D$73,0)))</x:f>
        <x:v>875703.25</x:v>
      </x:c>
      <x:c r="AI84" s="299" t="n">
        <x:f>IF(OR($B$82="Сколково + УСН 6%",$B$82="Сколково + ОСНО (освобождение прибыли)"),IF(AND($B$111&gt;0,26&gt;=$B$111),IFERROR($D$76*AI$83/$D$73,0),IFERROR($D$127*AI$83/$D$73,0)),IF(AND($B$108&gt;0,26&gt;=$B$108),IFERROR($D$75*AI$83/$D$73,0),IFERROR($D$127*AI$83/$D$73,0)))</x:f>
        <x:v>875703.25</x:v>
      </x:c>
      <x:c r="AJ84" s="299" t="n">
        <x:f>IF(OR($B$82="Сколково + УСН 6%",$B$82="Сколково + ОСНО (освобождение прибыли)"),IF(AND($B$111&gt;0,27&gt;=$B$111),IFERROR($D$76*AJ$83/$D$73,0),IFERROR($D$127*AJ$83/$D$73,0)),IF(AND($B$108&gt;0,27&gt;=$B$108),IFERROR($D$75*AJ$83/$D$73,0),IFERROR($D$127*AJ$83/$D$73,0)))</x:f>
        <x:v>875703.25</x:v>
      </x:c>
      <x:c r="AK84" s="299" t="n">
        <x:f>IF(OR($B$82="Сколково + УСН 6%",$B$82="Сколково + ОСНО (освобождение прибыли)"),IF(AND($B$111&gt;0,28&gt;=$B$111),IFERROR($D$76*AK$83/$D$73,0),IFERROR($D$127*AK$83/$D$73,0)),IF(AND($B$108&gt;0,28&gt;=$B$108),IFERROR($D$75*AK$83/$D$73,0),IFERROR($D$127*AK$83/$D$73,0)))</x:f>
        <x:v>875703.25</x:v>
      </x:c>
      <x:c r="AL84" s="299" t="n">
        <x:f>IF(OR($B$82="Сколково + УСН 6%",$B$82="Сколково + ОСНО (освобождение прибыли)"),IF(AND($B$111&gt;0,29&gt;=$B$111),IFERROR($D$76*AL$83/$D$73,0),IFERROR($D$127*AL$83/$D$73,0)),IF(AND($B$108&gt;0,29&gt;=$B$108),IFERROR($D$75*AL$83/$D$73,0),IFERROR($D$127*AL$83/$D$73,0)))</x:f>
        <x:v>875703.25</x:v>
      </x:c>
      <x:c r="AM84" s="299" t="n">
        <x:f>IF(OR($B$82="Сколково + УСН 6%",$B$82="Сколково + ОСНО (освобождение прибыли)"),IF(AND($B$111&gt;0,30&gt;=$B$111),IFERROR($D$76*AM$83/$D$73,0),IFERROR($D$127*AM$83/$D$73,0)),IF(AND($B$108&gt;0,30&gt;=$B$108),IFERROR($D$75*AM$83/$D$73,0),IFERROR($D$127*AM$83/$D$73,0)))</x:f>
        <x:v>875703.25</x:v>
      </x:c>
      <x:c r="AN84" s="299" t="n">
        <x:f>IF(OR($B$82="Сколково + УСН 6%",$B$82="Сколково + ОСНО (освобождение прибыли)"),IF(AND($B$111&gt;0,31&gt;=$B$111),IFERROR($D$76*AN$83/$D$73,0),IFERROR($D$127*AN$83/$D$73,0)),IF(AND($B$108&gt;0,31&gt;=$B$108),IFERROR($D$75*AN$83/$D$73,0),IFERROR($D$127*AN$83/$D$73,0)))</x:f>
        <x:v>875703.25</x:v>
      </x:c>
      <x:c r="AO84" s="299" t="n">
        <x:f>IF(OR($B$82="Сколково + УСН 6%",$B$82="Сколково + ОСНО (освобождение прибыли)"),IF(AND($B$111&gt;0,32&gt;=$B$111),IFERROR($D$76*AO$83/$D$73,0),IFERROR($D$127*AO$83/$D$73,0)),IF(AND($B$108&gt;0,32&gt;=$B$108),IFERROR($D$75*AO$83/$D$73,0),IFERROR($D$127*AO$83/$D$73,0)))</x:f>
        <x:v>875703.25</x:v>
      </x:c>
      <x:c r="AP84" s="299" t="n">
        <x:f>IF(OR($B$82="Сколково + УСН 6%",$B$82="Сколково + ОСНО (освобождение прибыли)"),IF(AND($B$111&gt;0,33&gt;=$B$111),IFERROR($D$76*AP$83/$D$73,0),IFERROR($D$127*AP$83/$D$73,0)),IF(AND($B$108&gt;0,33&gt;=$B$108),IFERROR($D$75*AP$83/$D$73,0),IFERROR($D$127*AP$83/$D$73,0)))</x:f>
        <x:v>875703.25</x:v>
      </x:c>
      <x:c r="AQ84" s="299" t="n">
        <x:f>IF(OR($B$82="Сколково + УСН 6%",$B$82="Сколково + ОСНО (освобождение прибыли)"),IF(AND($B$111&gt;0,34&gt;=$B$111),IFERROR($D$76*AQ$83/$D$73,0),IFERROR($D$127*AQ$83/$D$73,0)),IF(AND($B$108&gt;0,34&gt;=$B$108),IFERROR($D$75*AQ$83/$D$73,0),IFERROR($D$127*AQ$83/$D$73,0)))</x:f>
        <x:v>875703.25</x:v>
      </x:c>
      <x:c r="AR84" s="299" t="n">
        <x:f>IF(OR($B$82="Сколково + УСН 6%",$B$82="Сколково + ОСНО (освобождение прибыли)"),IF(AND($B$111&gt;0,35&gt;=$B$111),IFERROR($D$76*AR$83/$D$73,0),IFERROR($D$127*AR$83/$D$73,0)),IF(AND($B$108&gt;0,35&gt;=$B$108),IFERROR($D$75*AR$83/$D$73,0),IFERROR($D$127*AR$83/$D$73,0)))</x:f>
        <x:v>875703.25</x:v>
      </x:c>
      <x:c r="AS84" s="299" t="n">
        <x:f>IF(OR($B$82="Сколково + УСН 6%",$B$82="Сколково + ОСНО (освобождение прибыли)"),IF(AND($B$111&gt;0,36&gt;=$B$111),IFERROR($D$76*AS$83/$D$73,0),IFERROR($D$127*AS$83/$D$73,0)),IF(AND($B$108&gt;0,36&gt;=$B$108),IFERROR($D$75*AS$83/$D$73,0),IFERROR($D$127*AS$83/$D$73,0)))</x:f>
        <x:v>875703.25</x:v>
      </x:c>
    </x:row>
    <x:row r="85">
      <x:c r="A85" s="370" t="str">
        <x:v>Гранты</x:v>
      </x:c>
      <x:c r="B85" s="32" t="str">
        <x:v>В Cash Flow попадают только при вероятности &gt;0 и прохождении eligibility gate.</x:v>
      </x:c>
      <x:c r="C85" s="32"/>
      <x:c r="D85" s="32"/>
      <x:c r="E85" s="32"/>
      <x:c r="F85" s="32"/>
      <x:c r="G85" s="32"/>
      <x:c r="H85" s="32"/>
      <x:c r="I85" s="369" t="str">
        <x:v>Выбранный налог / мес.</x:v>
      </x:c>
      <x:c r="J85" s="299" t="n">
        <x:f>IF($B$82="УСН 6% → СПб IT 1% после gate",MAX(0.5*(IF(AND($B$109&gt;0,1&gt;=$B$109),1%,6%))*'Прибыли и убытки'!B$9,(IF(AND($B$109&gt;0,1&gt;=$B$109),1%,6%))*'Прибыли и убытки'!B$9-J$84),IF($B$82="УСН 7% Д-Р → СПб IT 5% после gate",MAX(0,(IF(AND($B$109&gt;0,1&gt;=$B$109),5%,7%))*MAX(('Прибыли и убытки'!B$26+J$84)-J$84,0)),IF($B$82="ОСНО 25% → IT 5% после gate",(IF(AND($B$116&gt;0,1&gt;=$B$116),5%,25%))*MAX(('Прибыли и убытки'!B$26+J$84)-J$84,0),IF($B$82="Сколково + УСН 6%",MAX(0.5*6%*'Прибыли и убытки'!B$9,6%*'Прибыли и убытки'!B$9-J$84),IF(OR($B$112=0,1&lt;$B$112),MAX(0.5*6%*'Прибыли и убытки'!B$9,6%*'Прибыли и убытки'!B$9-J$84),IF(AND($B$113&gt;0,1&gt;=$B$113),0,25%*MAX(('Прибыли и убытки'!B$26+J$84)-J$84,0)))))))</x:f>
        <x:v>49500.00000000001</x:v>
      </x:c>
      <x:c r="K85" s="299" t="n">
        <x:f>IF($B$82="УСН 6% → СПб IT 1% после gate",MAX(0.5*(IF(AND($B$109&gt;0,2&gt;=$B$109),1%,6%))*'Прибыли и убытки'!C$9,(IF(AND($B$109&gt;0,2&gt;=$B$109),1%,6%))*'Прибыли и убытки'!C$9-K$84),IF($B$82="УСН 7% Д-Р → СПб IT 5% после gate",MAX(0,(IF(AND($B$109&gt;0,2&gt;=$B$109),5%,7%))*MAX(('Прибыли и убытки'!C$26+K$84)-K$84,0)),IF($B$82="ОСНО 25% → IT 5% после gate",(IF(AND($B$116&gt;0,2&gt;=$B$116),5%,25%))*MAX(('Прибыли и убытки'!C$26+K$84)-K$84,0),IF($B$82="Сколково + УСН 6%",MAX(0.5*6%*'Прибыли и убытки'!C$9,6%*'Прибыли и убытки'!C$9-K$84),IF(OR($B$112=0,2&lt;$B$112),MAX(0.5*6%*'Прибыли и убытки'!C$9,6%*'Прибыли и убытки'!C$9-K$84),IF(AND($B$113&gt;0,2&gt;=$B$113),0,25%*MAX(('Прибыли и убытки'!C$26+K$84)-K$84,0)))))))</x:f>
        <x:v>80850</x:v>
      </x:c>
      <x:c r="L85" s="299" t="n">
        <x:f>IF($B$82="УСН 6% → СПб IT 1% после gate",MAX(0.5*(IF(AND($B$109&gt;0,3&gt;=$B$109),1%,6%))*'Прибыли и убытки'!D$9,(IF(AND($B$109&gt;0,3&gt;=$B$109),1%,6%))*'Прибыли и убытки'!D$9-L$84),IF($B$82="УСН 7% Д-Р → СПб IT 5% после gate",MAX(0,(IF(AND($B$109&gt;0,3&gt;=$B$109),5%,7%))*MAX(('Прибыли и убытки'!D$26+L$84)-L$84,0)),IF($B$82="ОСНО 25% → IT 5% после gate",(IF(AND($B$116&gt;0,3&gt;=$B$116),5%,25%))*MAX(('Прибыли и убытки'!D$26+L$84)-L$84,0),IF($B$82="Сколково + УСН 6%",MAX(0.5*6%*'Прибыли и убытки'!D$9,6%*'Прибыли и убытки'!D$9-L$84),IF(OR($B$112=0,3&lt;$B$112),MAX(0.5*6%*'Прибыли и убытки'!D$9,6%*'Прибыли и убытки'!D$9-L$84),IF(AND($B$113&gt;0,3&gt;=$B$113),0,25%*MAX(('Прибыли и убытки'!D$26+L$84)-L$84,0)))))))</x:f>
        <x:v>90684</x:v>
      </x:c>
      <x:c r="M85" s="299" t="n">
        <x:f>IF($B$82="УСН 6% → СПб IT 1% после gate",MAX(0.5*(IF(AND($B$109&gt;0,4&gt;=$B$109),1%,6%))*'Прибыли и убытки'!E$9,(IF(AND($B$109&gt;0,4&gt;=$B$109),1%,6%))*'Прибыли и убытки'!E$9-M$84),IF($B$82="УСН 7% Д-Р → СПб IT 5% после gate",MAX(0,(IF(AND($B$109&gt;0,4&gt;=$B$109),5%,7%))*MAX(('Прибыли и убытки'!E$26+M$84)-M$84,0)),IF($B$82="ОСНО 25% → IT 5% после gate",(IF(AND($B$116&gt;0,4&gt;=$B$116),5%,25%))*MAX(('Прибыли и убытки'!E$26+M$84)-M$84,0),IF($B$82="Сколково + УСН 6%",MAX(0.5*6%*'Прибыли и убытки'!E$9,6%*'Прибыли и убытки'!E$9-M$84),IF(OR($B$112=0,4&lt;$B$112),MAX(0.5*6%*'Прибыли и убытки'!E$9,6%*'Прибыли и убытки'!E$9-M$84),IF(AND($B$113&gt;0,4&gt;=$B$113),0,25%*MAX(('Прибыли и убытки'!E$26+M$84)-M$84,0)))))))</x:f>
        <x:v>125169.66</x:v>
      </x:c>
      <x:c r="N85" s="299" t="n">
        <x:f>IF($B$82="УСН 6% → СПб IT 1% после gate",MAX(0.5*(IF(AND($B$109&gt;0,5&gt;=$B$109),1%,6%))*'Прибыли и убытки'!F$9,(IF(AND($B$109&gt;0,5&gt;=$B$109),1%,6%))*'Прибыли и убытки'!F$9-N$84),IF($B$82="УСН 7% Д-Р → СПб IT 5% после gate",MAX(0,(IF(AND($B$109&gt;0,5&gt;=$B$109),5%,7%))*MAX(('Прибыли и убытки'!F$26+N$84)-N$84,0)),IF($B$82="ОСНО 25% → IT 5% после gate",(IF(AND($B$116&gt;0,5&gt;=$B$116),5%,25%))*MAX(('Прибыли и убытки'!F$26+N$84)-N$84,0),IF($B$82="Сколково + УСН 6%",MAX(0.5*6%*'Прибыли и убытки'!F$9,6%*'Прибыли и убытки'!F$9-N$84),IF(OR($B$112=0,5&lt;$B$112),MAX(0.5*6%*'Прибыли и убытки'!F$9,6%*'Прибыли и убытки'!F$9-N$84),IF(AND($B$113&gt;0,5&gt;=$B$113),0,25%*MAX(('Прибыли и убытки'!F$26+N$84)-N$84,0)))))))</x:f>
        <x:v>138107.96340000004</x:v>
      </x:c>
      <x:c r="O85" s="299" t="n">
        <x:f>IF($B$82="УСН 6% → СПб IT 1% после gate",MAX(0.5*(IF(AND($B$109&gt;0,6&gt;=$B$109),1%,6%))*'Прибыли и убытки'!G$9,(IF(AND($B$109&gt;0,6&gt;=$B$109),1%,6%))*'Прибыли и убытки'!G$9-O$84),IF($B$82="УСН 7% Д-Р → СПб IT 5% после gate",MAX(0,(IF(AND($B$109&gt;0,6&gt;=$B$109),5%,7%))*MAX(('Прибыли и убытки'!G$26+O$84)-O$84,0)),IF($B$82="ОСНО 25% → IT 5% после gate",(IF(AND($B$116&gt;0,6&gt;=$B$116),5%,25%))*MAX(('Прибыли и убытки'!G$26+O$84)-O$84,0),IF($B$82="Сколково + УСН 6%",MAX(0.5*6%*'Прибыли и убытки'!G$9,6%*'Прибыли и убытки'!G$9-O$84),IF(OR($B$112=0,6&lt;$B$112),MAX(0.5*6%*'Прибыли и убытки'!G$9,6%*'Прибыли и убытки'!G$9-O$84),IF(AND($B$113&gt;0,6&gt;=$B$113),0,25%*MAX(('Прибыли и убытки'!G$26+O$84)-O$84,0)))))))</x:f>
        <x:v>150916.883766</x:v>
      </x:c>
      <x:c r="P85" s="299" t="n">
        <x:f>IF($B$82="УСН 6% → СПб IT 1% после gate",MAX(0.5*(IF(AND($B$109&gt;0,7&gt;=$B$109),1%,6%))*'Прибыли и убытки'!H$9,(IF(AND($B$109&gt;0,7&gt;=$B$109),1%,6%))*'Прибыли и убытки'!H$9-P$84),IF($B$82="УСН 7% Д-Р → СПб IT 5% после gate",MAX(0,(IF(AND($B$109&gt;0,7&gt;=$B$109),5%,7%))*MAX(('Прибыли и убытки'!H$26+P$84)-P$84,0)),IF($B$82="ОСНО 25% → IT 5% после gate",(IF(AND($B$116&gt;0,7&gt;=$B$116),5%,25%))*MAX(('Прибыли и убытки'!H$26+P$84)-P$84,0),IF($B$82="Сколково + УСН 6%",MAX(0.5*6%*'Прибыли и убытки'!H$9,6%*'Прибыли и убытки'!H$9-P$84),IF(OR($B$112=0,7&lt;$B$112),MAX(0.5*6%*'Прибыли и убытки'!H$9,6%*'Прибыли и убытки'!H$9-P$84),IF(AND($B$113&gt;0,7&gt;=$B$113),0,25%*MAX(('Прибыли и убытки'!H$26+P$84)-P$84,0)))))))</x:f>
        <x:v>188347.71492834002</x:v>
      </x:c>
      <x:c r="Q85" s="299" t="n">
        <x:f>IF($B$82="УСН 6% → СПб IT 1% после gate",MAX(0.5*(IF(AND($B$109&gt;0,8&gt;=$B$109),1%,6%))*'Прибыли и убытки'!I$9,(IF(AND($B$109&gt;0,8&gt;=$B$109),1%,6%))*'Прибыли и убытки'!I$9-Q$84),IF($B$82="УСН 7% Д-Р → СПб IT 5% после gate",MAX(0,(IF(AND($B$109&gt;0,8&gt;=$B$109),5%,7%))*MAX(('Прибыли и убытки'!I$26+Q$84)-Q$84,0)),IF($B$82="ОСНО 25% → IT 5% после gate",(IF(AND($B$116&gt;0,8&gt;=$B$116),5%,25%))*MAX(('Прибыли и убытки'!I$26+Q$84)-Q$84,0),IF($B$82="Сколково + УСН 6%",MAX(0.5*6%*'Прибыли и убытки'!I$9,6%*'Прибыли и убытки'!I$9-Q$84),IF(OR($B$112=0,8&lt;$B$112),MAX(0.5*6%*'Прибыли и убытки'!I$9,6%*'Прибыли и убытки'!I$9-Q$84),IF(AND($B$113&gt;0,8&gt;=$B$113),0,25%*MAX(('Прибыли и убытки'!I$26+Q$84)-Q$84,0)))))))</x:f>
        <x:v>204201.7377790566</x:v>
      </x:c>
      <x:c r="R85" s="299" t="n">
        <x:f>IF($B$82="УСН 6% → СПб IT 1% после gate",MAX(0.5*(IF(AND($B$109&gt;0,9&gt;=$B$109),1%,6%))*'Прибыли и убытки'!J$9,(IF(AND($B$109&gt;0,9&gt;=$B$109),1%,6%))*'Прибыли и убытки'!J$9-R$84),IF($B$82="УСН 7% Д-Р → СПб IT 5% после gate",MAX(0,(IF(AND($B$109&gt;0,9&gt;=$B$109),5%,7%))*MAX(('Прибыли и убытки'!J$26+R$84)-R$84,0)),IF($B$82="ОСНО 25% → IT 5% после gate",(IF(AND($B$116&gt;0,9&gt;=$B$116),5%,25%))*MAX(('Прибыли и убытки'!J$26+R$84)-R$84,0),IF($B$82="Сколково + УСН 6%",MAX(0.5*6%*'Прибыли и убытки'!J$9,6%*'Прибыли и убытки'!J$9-R$84),IF(OR($B$112=0,9&lt;$B$112),MAX(0.5*6%*'Прибыли и убытки'!J$9,6%*'Прибыли и убытки'!J$9-R$84),IF(AND($B$113&gt;0,9&gt;=$B$113),0,25%*MAX(('Прибыли и убытки'!J$26+R$84)-R$84,0)))))))</x:f>
        <x:v>219897.22040126604</x:v>
      </x:c>
      <x:c r="S85" s="299" t="n">
        <x:f>IF($B$82="УСН 6% → СПб IT 1% после gate",MAX(0.5*(IF(AND($B$109&gt;0,10&gt;=$B$109),1%,6%))*'Прибыли и убытки'!K$9,(IF(AND($B$109&gt;0,10&gt;=$B$109),1%,6%))*'Прибыли и убытки'!K$9-S$84),IF($B$82="УСН 7% Д-Р → СПб IT 5% после gate",MAX(0,(IF(AND($B$109&gt;0,10&gt;=$B$109),5%,7%))*MAX(('Прибыли и убытки'!K$26+S$84)-S$84,0)),IF($B$82="ОСНО 25% → IT 5% после gate",(IF(AND($B$116&gt;0,10&gt;=$B$116),5%,25%))*MAX(('Прибыли и убытки'!K$26+S$84)-S$84,0),IF($B$82="Сколково + УСН 6%",MAX(0.5*6%*'Прибыли и убытки'!K$9,6%*'Прибыли и убытки'!K$9-S$84),IF(OR($B$112=0,10&lt;$B$112),MAX(0.5*6%*'Прибыли и убытки'!K$9,6%*'Прибыли и убытки'!K$9-S$84),IF(AND($B$113&gt;0,10&gt;=$B$113),0,25%*MAX(('Прибыли и убытки'!K$26+S$84)-S$84,0)))))))</x:f>
        <x:v>235435.74819725336</x:v>
      </x:c>
      <x:c r="T85" s="299" t="n">
        <x:f>IF($B$82="УСН 6% → СПб IT 1% после gate",MAX(0.5*(IF(AND($B$109&gt;0,11&gt;=$B$109),1%,6%))*'Прибыли и убытки'!L$9,(IF(AND($B$109&gt;0,11&gt;=$B$109),1%,6%))*'Прибыли и убытки'!L$9-T$84),IF($B$82="УСН 7% Д-Р → СПб IT 5% после gate",MAX(0,(IF(AND($B$109&gt;0,11&gt;=$B$109),5%,7%))*MAX(('Прибыли и убытки'!L$26+T$84)-T$84,0)),IF($B$82="ОСНО 25% → IT 5% после gate",(IF(AND($B$116&gt;0,11&gt;=$B$116),5%,25%))*MAX(('Прибыли и убытки'!L$26+T$84)-T$84,0),IF($B$82="Сколково + УСН 6%",MAX(0.5*6%*'Прибыли и убытки'!L$9,6%*'Прибыли и убытки'!L$9-T$84),IF(OR($B$112=0,11&lt;$B$112),MAX(0.5*6%*'Прибыли и убытки'!L$9,6%*'Прибыли и убытки'!L$9-T$84),IF(AND($B$113&gt;0,11&gt;=$B$113),0,25%*MAX(('Прибыли и убытки'!L$26+T$84)-T$84,0)))))))</x:f>
        <x:v>250818.89071528087</x:v>
      </x:c>
      <x:c r="U85" s="299" t="n">
        <x:f>IF($B$82="УСН 6% → СПб IT 1% после gate",MAX(0.5*(IF(AND($B$109&gt;0,12&gt;=$B$109),1%,6%))*'Прибыли и убытки'!M$9,(IF(AND($B$109&gt;0,12&gt;=$B$109),1%,6%))*'Прибыли и убытки'!M$9-U$84),IF($B$82="УСН 7% Д-Р → СПб IT 5% после gate",MAX(MAX(0,(IF(AND($B$109&gt;0,12&gt;=$B$109),5%,7%))*MAX(('Прибыли и убытки'!M$26+U$84)-U$84,0)),MAX(0,1%*SUM('Прибыли и убытки'!B$9:M$9)-SUM(J$85:T$85))),IF($B$82="ОСНО 25% → IT 5% после gate",(IF(AND($B$116&gt;0,12&gt;=$B$116),5%,25%))*MAX(('Прибыли и убытки'!M$26+U$84)-U$84,0),IF($B$82="Сколково + УСН 6%",MAX(0.5*6%*'Прибыли и убытки'!M$9,6%*'Прибыли и убытки'!M$9-U$84),IF(OR($B$112=0,12&lt;$B$112),MAX(0.5*6%*'Прибыли и убытки'!M$9,6%*'Прибыли и убытки'!M$9-U$84),IF(AND($B$113&gt;0,12&gt;=$B$113),0,25%*MAX(('Прибыли и убытки'!M$26+U$84)-U$84,0)))))))</x:f>
        <x:v>266048.20180812804</x:v>
      </x:c>
      <x:c r="V85" s="299" t="n">
        <x:f>IF($B$82="УСН 6% → СПб IT 1% после gate",MAX(0.5*(IF(AND($B$109&gt;0,13&gt;=$B$109),1%,6%))*'Прибыли и убытки'!N$9,(IF(AND($B$109&gt;0,13&gt;=$B$109),1%,6%))*'Прибыли и убытки'!N$9-V$84),IF($B$82="УСН 7% Д-Р → СПб IT 5% после gate",MAX(0,(IF(AND($B$109&gt;0,13&gt;=$B$109),5%,7%))*MAX(('Прибыли и убытки'!N$26+V$84)-V$84,0)),IF($B$82="ОСНО 25% → IT 5% после gate",(IF(AND($B$116&gt;0,13&gt;=$B$116),5%,25%))*MAX(('Прибыли и убытки'!N$26+V$84)-V$84,0),IF($B$82="Сколково + УСН 6%",MAX(0.5*6%*'Прибыли и убытки'!N$9,6%*'Прибыли и убытки'!N$9-V$84),IF(OR($B$112=0,13&lt;$B$112),MAX(0.5*6%*'Прибыли и убытки'!N$9,6%*'Прибыли и убытки'!N$9-V$84),IF(AND($B$113&gt;0,13&gt;=$B$113),0,25%*MAX(('Прибыли и убытки'!N$26+V$84)-V$84,0)))))))</x:f>
        <x:v>305875.21979004674</x:v>
      </x:c>
      <x:c r="W85" s="299" t="n">
        <x:f>IF($B$82="УСН 6% → СПб IT 1% после gate",MAX(0.5*(IF(AND($B$109&gt;0,14&gt;=$B$109),1%,6%))*'Прибыли и убытки'!O$9,(IF(AND($B$109&gt;0,14&gt;=$B$109),1%,6%))*'Прибыли и убытки'!O$9-W$84),IF($B$82="УСН 7% Д-Р → СПб IT 5% после gate",MAX(0,(IF(AND($B$109&gt;0,14&gt;=$B$109),5%,7%))*MAX(('Прибыли и убытки'!O$26+W$84)-W$84,0)),IF($B$82="ОСНО 25% → IT 5% после gate",(IF(AND($B$116&gt;0,14&gt;=$B$116),5%,25%))*MAX(('Прибыли и убытки'!O$26+W$84)-W$84,0),IF($B$82="Сколково + УСН 6%",MAX(0.5*6%*'Прибыли и убытки'!O$9,6%*'Прибыли и убытки'!O$9-W$84),IF(OR($B$112=0,14&lt;$B$112),MAX(0.5*6%*'Прибыли и убытки'!O$9,6%*'Прибыли и убытки'!O$9-W$84),IF(AND($B$113&gt;0,14&gt;=$B$113),0,25%*MAX(('Прибыли и убытки'!O$26+W$84)-W$84,0)))))))</x:f>
        <x:v>324101.46759214625</x:v>
      </x:c>
      <x:c r="X85" s="299" t="n">
        <x:f>IF($B$82="УСН 6% → СПб IT 1% после gate",MAX(0.5*(IF(AND($B$109&gt;0,15&gt;=$B$109),1%,6%))*'Прибыли и убытки'!P$9,(IF(AND($B$109&gt;0,15&gt;=$B$109),1%,6%))*'Прибыли и убытки'!P$9-X$84),IF($B$82="УСН 7% Д-Р → СПб IT 5% после gate",MAX(0,(IF(AND($B$109&gt;0,15&gt;=$B$109),5%,7%))*MAX(('Прибыли и убытки'!P$26+X$84)-X$84,0)),IF($B$82="ОСНО 25% → IT 5% после gate",(IF(AND($B$116&gt;0,15&gt;=$B$116),5%,25%))*MAX(('Прибыли и убытки'!P$26+X$84)-X$84,0),IF($B$82="Сколково + УСН 6%",MAX(0.5*6%*'Прибыли и убытки'!P$9,6%*'Прибыли и убытки'!P$9-X$84),IF(OR($B$112=0,15&lt;$B$112),MAX(0.5*6%*'Прибыли и убытки'!P$9,6%*'Прибыли и убытки'!P$9-X$84),IF(AND($B$113&gt;0,15&gt;=$B$113),0,25%*MAX(('Прибыли и убытки'!P$26+X$84)-X$84,0)))))))</x:f>
        <x:v>342145.4529162249</x:v>
      </x:c>
      <x:c r="Y85" s="299" t="n">
        <x:f>IF($B$82="УСН 6% → СПб IT 1% после gate",MAX(0.5*(IF(AND($B$109&gt;0,16&gt;=$B$109),1%,6%))*'Прибыли и убытки'!Q$9,(IF(AND($B$109&gt;0,16&gt;=$B$109),1%,6%))*'Прибыли и убытки'!Q$9-Y$84),IF($B$82="УСН 7% Д-Р → СПб IT 5% после gate",MAX(0,(IF(AND($B$109&gt;0,16&gt;=$B$109),5%,7%))*MAX(('Прибыли и убытки'!Q$26+Y$84)-Y$84,0)),IF($B$82="ОСНО 25% → IT 5% после gate",(IF(AND($B$116&gt;0,16&gt;=$B$116),5%,25%))*MAX(('Прибыли и убытки'!Q$26+Y$84)-Y$84,0),IF($B$82="Сколково + УСН 6%",MAX(0.5*6%*'Прибыли и убытки'!Q$9,6%*'Прибыли и убытки'!Q$9-Y$84),IF(OR($B$112=0,16&lt;$B$112),MAX(0.5*6%*'Прибыли и убытки'!Q$9,6%*'Прибыли и убытки'!Q$9-Y$84),IF(AND($B$113&gt;0,16&gt;=$B$113),0,25%*MAX(('Прибыли и убытки'!Q$26+Y$84)-Y$84,0)))))))</x:f>
        <x:v>360008.9983870626</x:v>
      </x:c>
      <x:c r="Z85" s="299" t="n">
        <x:f>IF($B$82="УСН 6% → СПб IT 1% после gate",MAX(0.5*(IF(AND($B$109&gt;0,17&gt;=$B$109),1%,6%))*'Прибыли и убытки'!R$9,(IF(AND($B$109&gt;0,17&gt;=$B$109),1%,6%))*'Прибыли и убытки'!R$9-Z$84),IF($B$82="УСН 7% Д-Р → СПб IT 5% после gate",MAX(0,(IF(AND($B$109&gt;0,17&gt;=$B$109),5%,7%))*MAX(('Прибыли и убытки'!R$26+Z$84)-Z$84,0)),IF($B$82="ОСНО 25% → IT 5% после gate",(IF(AND($B$116&gt;0,17&gt;=$B$116),5%,25%))*MAX(('Прибыли и убытки'!R$26+Z$84)-Z$84,0),IF($B$82="Сколково + УСН 6%",MAX(0.5*6%*'Прибыли и убытки'!R$9,6%*'Прибыли и убытки'!R$9-Z$84),IF(OR($B$112=0,17&lt;$B$112),MAX(0.5*6%*'Прибыли и убытки'!R$9,6%*'Прибыли и убытки'!R$9-Z$84),IF(AND($B$113&gt;0,17&gt;=$B$113),0,25%*MAX(('Прибыли и убытки'!R$26+Z$84)-Z$84,0)))))))</x:f>
        <x:v>377693.908403192</x:v>
      </x:c>
      <x:c r="AA85" s="299" t="n">
        <x:f>IF($B$82="УСН 6% → СПб IT 1% после gate",MAX(0.5*(IF(AND($B$109&gt;0,18&gt;=$B$109),1%,6%))*'Прибыли и убытки'!S$9,(IF(AND($B$109&gt;0,18&gt;=$B$109),1%,6%))*'Прибыли и убытки'!S$9-AA$84),IF($B$82="УСН 7% Д-Р → СПб IT 5% после gate",MAX(0,(IF(AND($B$109&gt;0,18&gt;=$B$109),5%,7%))*MAX(('Прибыли и убытки'!S$26+AA$84)-AA$84,0)),IF($B$82="ОСНО 25% → IT 5% после gate",(IF(AND($B$116&gt;0,18&gt;=$B$116),5%,25%))*MAX(('Прибыли и убытки'!S$26+AA$84)-AA$84,0),IF($B$82="Сколково + УСН 6%",MAX(0.5*6%*'Прибыли и убытки'!S$9,6%*'Прибыли и убытки'!S$9-AA$84),IF(OR($B$112=0,18&lt;$B$112),MAX(0.5*6%*'Прибыли и убытки'!S$9,6%*'Прибыли и убытки'!S$9-AA$84),IF(AND($B$113&gt;0,18&gt;=$B$113),0,25%*MAX(('Прибыли и убытки'!S$26+AA$84)-AA$84,0)))))))</x:f>
        <x:v>395201.9693191601</x:v>
      </x:c>
      <x:c r="AB85" s="299" t="n">
        <x:f>IF($B$82="УСН 6% → СПб IT 1% после gate",MAX(0.5*(IF(AND($B$109&gt;0,19&gt;=$B$109),1%,6%))*'Прибыли и убытки'!T$9,(IF(AND($B$109&gt;0,19&gt;=$B$109),1%,6%))*'Прибыли и убытки'!T$9-AB$84),IF($B$82="УСН 7% Д-Р → СПб IT 5% после gate",MAX(0,(IF(AND($B$109&gt;0,19&gt;=$B$109),5%,7%))*MAX(('Прибыли и убытки'!T$26+AB$84)-AB$84,0)),IF($B$82="ОСНО 25% → IT 5% после gate",(IF(AND($B$116&gt;0,19&gt;=$B$116),5%,25%))*MAX(('Прибыли и убытки'!T$26+AB$84)-AB$84,0),IF($B$82="Сколково + УСН 6%",MAX(0.5*6%*'Прибыли и убытки'!T$9,6%*'Прибыли и убытки'!T$9-AB$84),IF(OR($B$112=0,19&lt;$B$112),MAX(0.5*6%*'Прибыли и убытки'!T$9,6%*'Прибыли и убытки'!T$9-AB$84),IF(AND($B$113&gt;0,19&gt;=$B$113),0,25%*MAX(('Прибыли и убытки'!T$26+AB$84)-AB$84,0)))))))</x:f>
        <x:v>412534.9496259685</x:v>
      </x:c>
      <x:c r="AC85" s="299" t="n">
        <x:f>IF($B$82="УСН 6% → СПб IT 1% после gate",MAX(0.5*(IF(AND($B$109&gt;0,20&gt;=$B$109),1%,6%))*'Прибыли и убытки'!U$9,(IF(AND($B$109&gt;0,20&gt;=$B$109),1%,6%))*'Прибыли и убытки'!U$9-AC$84),IF($B$82="УСН 7% Д-Р → СПб IT 5% после gate",MAX(0,(IF(AND($B$109&gt;0,20&gt;=$B$109),5%,7%))*MAX(('Прибыли и убытки'!U$26+AC$84)-AC$84,0)),IF($B$82="ОСНО 25% → IT 5% после gate",(IF(AND($B$116&gt;0,20&gt;=$B$116),5%,25%))*MAX(('Прибыли и убытки'!U$26+AC$84)-AC$84,0),IF($B$82="Сколково + УСН 6%",MAX(0.5*6%*'Прибыли и убытки'!U$9,6%*'Прибыли и убытки'!U$9-AC$84),IF(OR($B$112=0,20&lt;$B$112),MAX(0.5*6%*'Прибыли и убытки'!U$9,6%*'Прибыли и убытки'!U$9-AC$84),IF(AND($B$113&gt;0,20&gt;=$B$113),0,25%*MAX(('Прибыли и убытки'!U$26+AC$84)-AC$84,0)))))))</x:f>
        <x:v>429694.60012970876</x:v>
      </x:c>
      <x:c r="AD85" s="299" t="n">
        <x:f>IF($B$82="УСН 6% → СПб IT 1% после gate",MAX(0.5*(IF(AND($B$109&gt;0,21&gt;=$B$109),1%,6%))*'Прибыли и убытки'!V$9,(IF(AND($B$109&gt;0,21&gt;=$B$109),1%,6%))*'Прибыли и убытки'!V$9-AD$84),IF($B$82="УСН 7% Д-Р → СПб IT 5% после gate",MAX(0,(IF(AND($B$109&gt;0,21&gt;=$B$109),5%,7%))*MAX(('Прибыли и убытки'!V$26+AD$84)-AD$84,0)),IF($B$82="ОСНО 25% → IT 5% после gate",(IF(AND($B$116&gt;0,21&gt;=$B$116),5%,25%))*MAX(('Прибыли и убытки'!V$26+AD$84)-AD$84,0),IF($B$82="Сколково + УСН 6%",MAX(0.5*6%*'Прибыли и убытки'!V$9,6%*'Прибыли и убытки'!V$9-AD$84),IF(OR($B$112=0,21&lt;$B$112),MAX(0.5*6%*'Прибыли и убытки'!V$9,6%*'Прибыли и убытки'!V$9-AD$84),IF(AND($B$113&gt;0,21&gt;=$B$113),0,25%*MAX(('Прибыли и убытки'!V$26+AD$84)-AD$84,0)))))))</x:f>
        <x:v>446682.6541284117</x:v>
      </x:c>
      <x:c r="AE85" s="299" t="n">
        <x:f>IF($B$82="УСН 6% → СПб IT 1% после gate",MAX(0.5*(IF(AND($B$109&gt;0,22&gt;=$B$109),1%,6%))*'Прибыли и убытки'!W$9,(IF(AND($B$109&gt;0,22&gt;=$B$109),1%,6%))*'Прибыли и убытки'!W$9-AE$84),IF($B$82="УСН 7% Д-Р → СПб IT 5% после gate",MAX(0,(IF(AND($B$109&gt;0,22&gt;=$B$109),5%,7%))*MAX(('Прибыли и убытки'!W$26+AE$84)-AE$84,0)),IF($B$82="ОСНО 25% → IT 5% после gate",(IF(AND($B$116&gt;0,22&gt;=$B$116),5%,25%))*MAX(('Прибыли и убытки'!W$26+AE$84)-AE$84,0),IF($B$82="Сколково + УСН 6%",MAX(0.5*6%*'Прибыли и убытки'!W$9,6%*'Прибыли и убытки'!W$9-AE$84),IF(OR($B$112=0,22&lt;$B$112),MAX(0.5*6%*'Прибыли и убытки'!W$9,6%*'Прибыли и убытки'!W$9-AE$84),IF(AND($B$113&gt;0,22&gt;=$B$113),0,25%*MAX(('Прибыли и убытки'!W$26+AE$84)-AE$84,0)))))))</x:f>
        <x:v>463500.82758712757</x:v>
      </x:c>
      <x:c r="AF85" s="299" t="n">
        <x:f>IF($B$82="УСН 6% → СПб IT 1% после gate",MAX(0.5*(IF(AND($B$109&gt;0,23&gt;=$B$109),1%,6%))*'Прибыли и убытки'!X$9,(IF(AND($B$109&gt;0,23&gt;=$B$109),1%,6%))*'Прибыли и убытки'!X$9-AF$84),IF($B$82="УСН 7% Д-Р → СПб IT 5% после gate",MAX(0,(IF(AND($B$109&gt;0,23&gt;=$B$109),5%,7%))*MAX(('Прибыли и убытки'!X$26+AF$84)-AF$84,0)),IF($B$82="ОСНО 25% → IT 5% после gate",(IF(AND($B$116&gt;0,23&gt;=$B$116),5%,25%))*MAX(('Прибыли и убытки'!X$26+AF$84)-AF$84,0),IF($B$82="Сколково + УСН 6%",MAX(0.5*6%*'Прибыли и убытки'!X$9,6%*'Прибыли и убытки'!X$9-AF$84),IF(OR($B$112=0,23&lt;$B$112),MAX(0.5*6%*'Прибыли и убытки'!X$9,6%*'Прибыли и убытки'!X$9-AF$84),IF(AND($B$113&gt;0,23&gt;=$B$113),0,25%*MAX(('Прибыли и убытки'!X$26+AF$84)-AF$84,0)))))))</x:f>
        <x:v>480150.81931125635</x:v>
      </x:c>
      <x:c r="AG85" s="299" t="n">
        <x:f>IF($B$82="УСН 6% → СПб IT 1% после gate",MAX(0.5*(IF(AND($B$109&gt;0,24&gt;=$B$109),1%,6%))*'Прибыли и убытки'!Y$9,(IF(AND($B$109&gt;0,24&gt;=$B$109),1%,6%))*'Прибыли и убытки'!Y$9-AG$84),IF($B$82="УСН 7% Д-Р → СПб IT 5% после gate",MAX(MAX(0,(IF(AND($B$109&gt;0,24&gt;=$B$109),5%,7%))*MAX(('Прибыли и убытки'!Y$26+AG$84)-AG$84,0)),MAX(0,1%*SUM('Прибыли и убытки'!N$9:Y$9)-SUM(V$85:AF$85))),IF($B$82="ОСНО 25% → IT 5% после gate",(IF(AND($B$116&gt;0,24&gt;=$B$116),5%,25%))*MAX(('Прибыли и убытки'!Y$26+AG$84)-AG$84,0),IF($B$82="Сколково + УСН 6%",MAX(0.5*6%*'Прибыли и убытки'!Y$9,6%*'Прибыли и убытки'!Y$9-AG$84),IF(OR($B$112=0,24&lt;$B$112),MAX(0.5*6%*'Прибыли и убытки'!Y$9,6%*'Прибыли и убытки'!Y$9-AG$84),IF(AND($B$113&gt;0,24&gt;=$B$113),0,25%*MAX(('Прибыли и убытки'!Y$26+AG$84)-AG$84,0)))))))</x:f>
        <x:v>496634.3111181438</x:v>
      </x:c>
      <x:c r="AH85" s="299" t="n">
        <x:f>IF($B$82="УСН 6% → СПб IT 1% после gate",MAX(0.5*(IF(AND($B$109&gt;0,25&gt;=$B$109),1%,6%))*'Прибыли и убытки'!Z$9,(IF(AND($B$109&gt;0,25&gt;=$B$109),1%,6%))*'Прибыли и убытки'!Z$9-AH$84),IF($B$82="УСН 7% Д-Р → СПб IT 5% после gate",MAX(0,(IF(AND($B$109&gt;0,25&gt;=$B$109),5%,7%))*MAX(('Прибыли и убытки'!Z$26+AH$84)-AH$84,0)),IF($B$82="ОСНО 25% → IT 5% после gate",(IF(AND($B$116&gt;0,25&gt;=$B$116),5%,25%))*MAX(('Прибыли и убытки'!Z$26+AH$84)-AH$84,0),IF($B$82="Сколково + УСН 6%",MAX(0.5*6%*'Прибыли и убытки'!Z$9,6%*'Прибыли и убытки'!Z$9-AH$84),IF(OR($B$112=0,25&lt;$B$112),MAX(0.5*6%*'Прибыли и убытки'!Z$9,6%*'Прибыли и убытки'!Z$9-AH$84),IF(AND($B$113&gt;0,25&gt;=$B$113),0,25%*MAX(('Прибыли и убытки'!Z$26+AH$84)-AH$84,0)))))))</x:f>
        <x:v>611952.9680069623</x:v>
      </x:c>
      <x:c r="AI85" s="299" t="n">
        <x:f>IF($B$82="УСН 6% → СПб IT 1% после gate",MAX(0.5*(IF(AND($B$109&gt;0,26&gt;=$B$109),1%,6%))*'Прибыли и убытки'!AA$9,(IF(AND($B$109&gt;0,26&gt;=$B$109),1%,6%))*'Прибыли и убытки'!AA$9-AI$84),IF($B$82="УСН 7% Д-Р → СПб IT 5% после gate",MAX(0,(IF(AND($B$109&gt;0,26&gt;=$B$109),5%,7%))*MAX(('Прибыли и убытки'!AA$26+AI$84)-AI$84,0)),IF($B$82="ОСНО 25% → IT 5% после gate",(IF(AND($B$116&gt;0,26&gt;=$B$116),5%,25%))*MAX(('Прибыли и убытки'!AA$26+AI$84)-AI$84,0),IF($B$82="Сколково + УСН 6%",MAX(0.5*6%*'Прибыли и убытки'!AA$9,6%*'Прибыли и убытки'!AA$9-AI$84),IF(OR($B$112=0,26&lt;$B$112),MAX(0.5*6%*'Прибыли и убытки'!AA$9,6%*'Прибыли и убытки'!AA$9-AI$84),IF(AND($B$113&gt;0,26&gt;=$B$113),0,25%*MAX(('Прибыли и убытки'!AA$26+AI$84)-AI$84,0)))))))</x:f>
        <x:v>641308.4383268928</x:v>
      </x:c>
      <x:c r="AJ85" s="299" t="n">
        <x:f>IF($B$82="УСН 6% → СПб IT 1% после gate",MAX(0.5*(IF(AND($B$109&gt;0,27&gt;=$B$109),1%,6%))*'Прибыли и убытки'!AB$9,(IF(AND($B$109&gt;0,27&gt;=$B$109),1%,6%))*'Прибыли и убытки'!AB$9-AJ$84),IF($B$82="УСН 7% Д-Р → СПб IT 5% после gate",MAX(0,(IF(AND($B$109&gt;0,27&gt;=$B$109),5%,7%))*MAX(('Прибыли и убытки'!AB$26+AJ$84)-AJ$84,0)),IF($B$82="ОСНО 25% → IT 5% после gate",(IF(AND($B$116&gt;0,27&gt;=$B$116),5%,25%))*MAX(('Прибыли и убытки'!AB$26+AJ$84)-AJ$84,0),IF($B$82="Сколково + УСН 6%",MAX(0.5*6%*'Прибыли и убытки'!AB$9,6%*'Прибыли и убытки'!AB$9-AJ$84),IF(OR($B$112=0,27&lt;$B$112),MAX(0.5*6%*'Прибыли и убытки'!AB$9,6%*'Прибыли и убытки'!AB$9-AJ$84),IF(AND($B$113&gt;0,27&gt;=$B$113),0,25%*MAX(('Прибыли и убытки'!AB$26+AJ$84)-AJ$84,0)))))))</x:f>
        <x:v>670370.3539436238</x:v>
      </x:c>
      <x:c r="AK85" s="299" t="n">
        <x:f>IF($B$82="УСН 6% → СПб IT 1% после gate",MAX(0.5*(IF(AND($B$109&gt;0,28&gt;=$B$109),1%,6%))*'Прибыли и убытки'!AC$9,(IF(AND($B$109&gt;0,28&gt;=$B$109),1%,6%))*'Прибыли и убытки'!AC$9-AK$84),IF($B$82="УСН 7% Д-Р → СПб IT 5% после gate",MAX(0,(IF(AND($B$109&gt;0,28&gt;=$B$109),5%,7%))*MAX(('Прибыли и убытки'!AC$26+AK$84)-AK$84,0)),IF($B$82="ОСНО 25% → IT 5% после gate",(IF(AND($B$116&gt;0,28&gt;=$B$116),5%,25%))*MAX(('Прибыли и убытки'!AC$26+AK$84)-AK$84,0),IF($B$82="Сколково + УСН 6%",MAX(0.5*6%*'Прибыли и убытки'!AC$9,6%*'Прибыли и убытки'!AC$9-AK$84),IF(OR($B$112=0,28&lt;$B$112),MAX(0.5*6%*'Прибыли и убытки'!AC$9,6%*'Прибыли и убытки'!AC$9-AK$84),IF(AND($B$113&gt;0,28&gt;=$B$113),0,25%*MAX(('Прибыли и убытки'!AC$26+AK$84)-AK$84,0)))))))</x:f>
        <x:v>699141.6504041876</x:v>
      </x:c>
      <x:c r="AL85" s="299" t="n">
        <x:f>IF($B$82="УСН 6% → СПб IT 1% после gate",MAX(0.5*(IF(AND($B$109&gt;0,29&gt;=$B$109),1%,6%))*'Прибыли и убытки'!AD$9,(IF(AND($B$109&gt;0,29&gt;=$B$109),1%,6%))*'Прибыли и убытки'!AD$9-AL$84),IF($B$82="УСН 7% Д-Р → СПб IT 5% после gate",MAX(0,(IF(AND($B$109&gt;0,29&gt;=$B$109),5%,7%))*MAX(('Прибыли и убытки'!AD$26+AL$84)-AL$84,0)),IF($B$82="ОСНО 25% → IT 5% после gate",(IF(AND($B$116&gt;0,29&gt;=$B$116),5%,25%))*MAX(('Прибыли и убытки'!AD$26+AL$84)-AL$84,0),IF($B$82="Сколково + УСН 6%",MAX(0.5*6%*'Прибыли и убытки'!AD$9,6%*'Прибыли и убытки'!AD$9-AL$84),IF(OR($B$112=0,29&lt;$B$112),MAX(0.5*6%*'Прибыли и убытки'!AD$9,6%*'Прибыли и убытки'!AD$9-AL$84),IF(AND($B$113&gt;0,29&gt;=$B$113),0,25%*MAX(('Прибыли и убытки'!AD$26+AL$84)-AL$84,0)))))))</x:f>
        <x:v>727625.2339001456</x:v>
      </x:c>
      <x:c r="AM85" s="299" t="n">
        <x:f>IF($B$82="УСН 6% → СПб IT 1% после gate",MAX(0.5*(IF(AND($B$109&gt;0,30&gt;=$B$109),1%,6%))*'Прибыли и убытки'!AE$9,(IF(AND($B$109&gt;0,30&gt;=$B$109),1%,6%))*'Прибыли и убытки'!AE$9-AM$84),IF($B$82="УСН 7% Д-Р → СПб IT 5% после gate",MAX(0,(IF(AND($B$109&gt;0,30&gt;=$B$109),5%,7%))*MAX(('Прибыли и убытки'!AE$26+AM$84)-AM$84,0)),IF($B$82="ОСНО 25% → IT 5% после gate",(IF(AND($B$116&gt;0,30&gt;=$B$116),5%,25%))*MAX(('Прибыли и убытки'!AE$26+AM$84)-AM$84,0),IF($B$82="Сколково + УСН 6%",MAX(0.5*6%*'Прибыли и убытки'!AE$9,6%*'Прибыли и убытки'!AE$9-AM$84),IF(OR($B$112=0,30&lt;$B$112),MAX(0.5*6%*'Прибыли и убытки'!AE$9,6%*'Прибыли и убытки'!AE$9-AM$84),IF(AND($B$113&gt;0,30&gt;=$B$113),0,25%*MAX(('Прибыли и убытки'!AE$26+AM$84)-AM$84,0)))))))</x:f>
        <x:v>755823.9815611442</x:v>
      </x:c>
      <x:c r="AN85" s="299" t="n">
        <x:f>IF($B$82="УСН 6% → СПб IT 1% после gate",MAX(0.5*(IF(AND($B$109&gt;0,31&gt;=$B$109),1%,6%))*'Прибыли и убытки'!AF$9,(IF(AND($B$109&gt;0,31&gt;=$B$109),1%,6%))*'Прибыли и убытки'!AF$9-AN$84),IF($B$82="УСН 7% Д-Р → СПб IT 5% после gate",MAX(0,(IF(AND($B$109&gt;0,31&gt;=$B$109),5%,7%))*MAX(('Прибыли и убытки'!AF$26+AN$84)-AN$84,0)),IF($B$82="ОСНО 25% → IT 5% после gate",(IF(AND($B$116&gt;0,31&gt;=$B$116),5%,25%))*MAX(('Прибыли и убытки'!AF$26+AN$84)-AN$84,0),IF($B$82="Сколково + УСН 6%",MAX(0.5*6%*'Прибыли и убытки'!AF$9,6%*'Прибыли и убытки'!AF$9-AN$84),IF(OR($B$112=0,31&lt;$B$112),MAX(0.5*6%*'Прибыли и убытки'!AF$9,6%*'Прибыли и убытки'!AF$9-AN$84),IF(AND($B$113&gt;0,31&gt;=$B$113),0,25%*MAX(('Прибыли и убытки'!AF$26+AN$84)-AN$84,0)))))))</x:f>
        <x:v>783740.7417455328</x:v>
      </x:c>
      <x:c r="AO85" s="299" t="n">
        <x:f>IF($B$82="УСН 6% → СПб IT 1% после gate",MAX(0.5*(IF(AND($B$109&gt;0,32&gt;=$B$109),1%,6%))*'Прибыли и убытки'!AG$9,(IF(AND($B$109&gt;0,32&gt;=$B$109),1%,6%))*'Прибыли и убытки'!AG$9-AO$84),IF($B$82="УСН 7% Д-Р → СПб IT 5% после gate",MAX(0,(IF(AND($B$109&gt;0,32&gt;=$B$109),5%,7%))*MAX(('Прибыли и убытки'!AG$26+AO$84)-AO$84,0)),IF($B$82="ОСНО 25% → IT 5% после gate",(IF(AND($B$116&gt;0,32&gt;=$B$116),5%,25%))*MAX(('Прибыли и убытки'!AG$26+AO$84)-AO$84,0),IF($B$82="Сколково + УСН 6%",MAX(0.5*6%*'Прибыли и убытки'!AG$9,6%*'Прибыли и убытки'!AG$9-AO$84),IF(OR($B$112=0,32&lt;$B$112),MAX(0.5*6%*'Прибыли и убытки'!AG$9,6%*'Прибыли и убытки'!AG$9-AO$84),IF(AND($B$113&gt;0,32&gt;=$B$113),0,25%*MAX(('Прибыли и убытки'!AG$26+AO$84)-AO$84,0)))))))</x:f>
        <x:v>811378.3343280775</x:v>
      </x:c>
      <x:c r="AP85" s="299" t="n">
        <x:f>IF($B$82="УСН 6% → СПб IT 1% после gate",MAX(0.5*(IF(AND($B$109&gt;0,33&gt;=$B$109),1%,6%))*'Прибыли и убытки'!AH$9,(IF(AND($B$109&gt;0,33&gt;=$B$109),1%,6%))*'Прибыли и убытки'!AH$9-AP$84),IF($B$82="УСН 7% Д-Р → СПб IT 5% после gate",MAX(0,(IF(AND($B$109&gt;0,33&gt;=$B$109),5%,7%))*MAX(('Прибыли и убытки'!AH$26+AP$84)-AP$84,0)),IF($B$82="ОСНО 25% → IT 5% после gate",(IF(AND($B$116&gt;0,33&gt;=$B$116),5%,25%))*MAX(('Прибыли и убытки'!AH$26+AP$84)-AP$84,0),IF($B$82="Сколково + УСН 6%",MAX(0.5*6%*'Прибыли и убытки'!AH$9,6%*'Прибыли и убытки'!AH$9-AP$84),IF(OR($B$112=0,33&lt;$B$112),MAX(0.5*6%*'Прибыли и убытки'!AH$9,6%*'Прибыли и убытки'!AH$9-AP$84),IF(AND($B$113&gt;0,33&gt;=$B$113),0,25%*MAX(('Прибыли и убытки'!AH$26+AP$84)-AP$84,0)))))))</x:f>
        <x:v>838739.5509847968</x:v>
      </x:c>
      <x:c r="AQ85" s="299" t="n">
        <x:f>IF($B$82="УСН 6% → СПб IT 1% после gate",MAX(0.5*(IF(AND($B$109&gt;0,34&gt;=$B$109),1%,6%))*'Прибыли и убытки'!AI$9,(IF(AND($B$109&gt;0,34&gt;=$B$109),1%,6%))*'Прибыли и убытки'!AI$9-AQ$84),IF($B$82="УСН 7% Д-Р → СПб IT 5% после gate",MAX(0,(IF(AND($B$109&gt;0,34&gt;=$B$109),5%,7%))*MAX(('Прибыли и убытки'!AI$26+AQ$84)-AQ$84,0)),IF($B$82="ОСНО 25% → IT 5% после gate",(IF(AND($B$116&gt;0,34&gt;=$B$116),5%,25%))*MAX(('Прибыли и убытки'!AI$26+AQ$84)-AQ$84,0),IF($B$82="Сколково + УСН 6%",MAX(0.5*6%*'Прибыли и убытки'!AI$9,6%*'Прибыли и убытки'!AI$9-AQ$84),IF(OR($B$112=0,34&lt;$B$112),MAX(0.5*6%*'Прибыли и убытки'!AI$9,6%*'Прибыли и убытки'!AI$9-AQ$84),IF(AND($B$113&gt;0,34&gt;=$B$113),0,25%*MAX(('Прибыли и убытки'!AI$26+AQ$84)-AQ$84,0)))))))</x:f>
        <x:v>865827.1554749488</x:v>
      </x:c>
      <x:c r="AR85" s="299" t="n">
        <x:f>IF($B$82="УСН 6% → СПб IT 1% после gate",MAX(0.5*(IF(AND($B$109&gt;0,35&gt;=$B$109),1%,6%))*'Прибыли и убытки'!AJ$9,(IF(AND($B$109&gt;0,35&gt;=$B$109),1%,6%))*'Прибыли и убытки'!AJ$9-AR$84),IF($B$82="УСН 7% Д-Р → СПб IT 5% после gate",MAX(0,(IF(AND($B$109&gt;0,35&gt;=$B$109),5%,7%))*MAX(('Прибыли и убытки'!AJ$26+AR$84)-AR$84,0)),IF($B$82="ОСНО 25% → IT 5% после gate",(IF(AND($B$116&gt;0,35&gt;=$B$116),5%,25%))*MAX(('Прибыли и убытки'!AJ$26+AR$84)-AR$84,0),IF($B$82="Сколково + УСН 6%",MAX(0.5*6%*'Прибыли и убытки'!AJ$9,6%*'Прибыли и убытки'!AJ$9-AR$84),IF(OR($B$112=0,35&lt;$B$112),MAX(0.5*6%*'Прибыли и убытки'!AJ$9,6%*'Прибыли и убытки'!AJ$9-AR$84),IF(AND($B$113&gt;0,35&gt;=$B$113),0,25%*MAX(('Прибыли и убытки'!AJ$26+AR$84)-AR$84,0)))))))</x:f>
        <x:v>909584.5178403989</x:v>
      </x:c>
      <x:c r="AS85" s="299" t="n">
        <x:f>IF($B$82="УСН 6% → СПб IT 1% после gate",MAX(0.5*(IF(AND($B$109&gt;0,36&gt;=$B$109),1%,6%))*'Прибыли и убытки'!AK$9,(IF(AND($B$109&gt;0,36&gt;=$B$109),1%,6%))*'Прибыли и убытки'!AK$9-AS$84),IF($B$82="УСН 7% Д-Р → СПб IT 5% после gate",MAX(MAX(0,(IF(AND($B$109&gt;0,36&gt;=$B$109),5%,7%))*MAX(('Прибыли и убытки'!AK$26+AS$84)-AS$84,0)),MAX(0,1%*SUM('Прибыли и убытки'!Z$9:AK$9)-SUM(AH$85:AR$85))),IF($B$82="ОСНО 25% → IT 5% после gate",(IF(AND($B$116&gt;0,36&gt;=$B$116),5%,25%))*MAX(('Прибыли и убытки'!AK$26+AS$84)-AS$84,0),IF($B$82="Сколково + УСН 6%",MAX(0.5*6%*'Прибыли и убытки'!AK$9,6%*'Прибыли и убытки'!AK$9-AS$84),IF(OR($B$112=0,36&lt;$B$112),MAX(0.5*6%*'Прибыли и убытки'!AK$9,6%*'Прибыли и убытки'!AK$9-AS$84),IF(AND($B$113&gt;0,36&gt;=$B$113),0,25%*MAX(('Прибыли и убытки'!AK$26+AS$84)-AS$84,0)))))))</x:f>
        <x:v>962681.6401619948</x:v>
      </x:c>
    </x:row>
    <x:row r="86">
      <x:c r="I86" s="369" t="str">
        <x:v>Ожидаемые гранты / мес.</x:v>
      </x:c>
      <x:c r="J86" s="299" t="n">
        <x:f>IF($I$50=1,$E$50,0)+IF($I$51=1,$E$51,0)+IF(AND($I$52=1,$B$115&gt;0,1&gt;=$B$115),$E$52,0)+IF($I$53=1,$E$53,0)+IF(AND($I$54=1,$B$115&gt;0,1&gt;=$B$115),$E$54,0)</x:f>
        <x:v>0</x:v>
      </x:c>
      <x:c r="K86" s="299" t="n">
        <x:f>IF($I$50=2,$E$50,0)+IF($I$51=2,$E$51,0)+IF(AND($I$52=2,$B$115&gt;0,2&gt;=$B$115),$E$52,0)+IF($I$53=2,$E$53,0)+IF(AND($I$54=2,$B$115&gt;0,2&gt;=$B$115),$E$54,0)</x:f>
        <x:v>0</x:v>
      </x:c>
      <x:c r="L86" s="299" t="n">
        <x:f>IF($I$50=3,$E$50,0)+IF($I$51=3,$E$51,0)+IF(AND($I$52=3,$B$115&gt;0,3&gt;=$B$115),$E$52,0)+IF($I$53=3,$E$53,0)+IF(AND($I$54=3,$B$115&gt;0,3&gt;=$B$115),$E$54,0)</x:f>
        <x:v>0</x:v>
      </x:c>
      <x:c r="M86" s="299" t="n">
        <x:f>IF($I$50=4,$E$50,0)+IF($I$51=4,$E$51,0)+IF(AND($I$52=4,$B$115&gt;0,4&gt;=$B$115),$E$52,0)+IF($I$53=4,$E$53,0)+IF(AND($I$54=4,$B$115&gt;0,4&gt;=$B$115),$E$54,0)</x:f>
        <x:v>0</x:v>
      </x:c>
      <x:c r="N86" s="299" t="n">
        <x:f>IF($I$50=5,$E$50,0)+IF($I$51=5,$E$51,0)+IF(AND($I$52=5,$B$115&gt;0,5&gt;=$B$115),$E$52,0)+IF($I$53=5,$E$53,0)+IF(AND($I$54=5,$B$115&gt;0,5&gt;=$B$115),$E$54,0)</x:f>
        <x:v>0</x:v>
      </x:c>
      <x:c r="O86" s="299" t="n">
        <x:f>IF($I$50=6,$E$50,0)+IF($I$51=6,$E$51,0)+IF(AND($I$52=6,$B$115&gt;0,6&gt;=$B$115),$E$52,0)+IF($I$53=6,$E$53,0)+IF(AND($I$54=6,$B$115&gt;0,6&gt;=$B$115),$E$54,0)</x:f>
        <x:v>0</x:v>
      </x:c>
      <x:c r="P86" s="299" t="n">
        <x:f>IF($I$50=7,$E$50,0)+IF($I$51=7,$E$51,0)+IF(AND($I$52=7,$B$115&gt;0,7&gt;=$B$115),$E$52,0)+IF($I$53=7,$E$53,0)+IF(AND($I$54=7,$B$115&gt;0,7&gt;=$B$115),$E$54,0)</x:f>
        <x:v>0</x:v>
      </x:c>
      <x:c r="Q86" s="299" t="n">
        <x:f>IF($I$50=8,$E$50,0)+IF($I$51=8,$E$51,0)+IF(AND($I$52=8,$B$115&gt;0,8&gt;=$B$115),$E$52,0)+IF($I$53=8,$E$53,0)+IF(AND($I$54=8,$B$115&gt;0,8&gt;=$B$115),$E$54,0)</x:f>
        <x:v>0</x:v>
      </x:c>
      <x:c r="R86" s="299" t="n">
        <x:f>IF($I$50=9,$E$50,0)+IF($I$51=9,$E$51,0)+IF(AND($I$52=9,$B$115&gt;0,9&gt;=$B$115),$E$52,0)+IF($I$53=9,$E$53,0)+IF(AND($I$54=9,$B$115&gt;0,9&gt;=$B$115),$E$54,0)</x:f>
        <x:v>0</x:v>
      </x:c>
      <x:c r="S86" s="299" t="n">
        <x:f>IF($I$50=10,$E$50,0)+IF($I$51=10,$E$51,0)+IF(AND($I$52=10,$B$115&gt;0,10&gt;=$B$115),$E$52,0)+IF($I$53=10,$E$53,0)+IF(AND($I$54=10,$B$115&gt;0,10&gt;=$B$115),$E$54,0)</x:f>
        <x:v>0</x:v>
      </x:c>
      <x:c r="T86" s="299" t="n">
        <x:f>IF($I$50=11,$E$50,0)+IF($I$51=11,$E$51,0)+IF(AND($I$52=11,$B$115&gt;0,11&gt;=$B$115),$E$52,0)+IF($I$53=11,$E$53,0)+IF(AND($I$54=11,$B$115&gt;0,11&gt;=$B$115),$E$54,0)</x:f>
        <x:v>0</x:v>
      </x:c>
      <x:c r="U86" s="299" t="n">
        <x:f>IF($I$50=12,$E$50,0)+IF($I$51=12,$E$51,0)+IF(AND($I$52=12,$B$115&gt;0,12&gt;=$B$115),$E$52,0)+IF($I$53=12,$E$53,0)+IF(AND($I$54=12,$B$115&gt;0,12&gt;=$B$115),$E$54,0)</x:f>
        <x:v>0</x:v>
      </x:c>
      <x:c r="V86" s="299" t="n">
        <x:f>IF($I$50=13,$E$50,0)+IF($I$51=13,$E$51,0)+IF(AND($I$52=13,$B$115&gt;0,13&gt;=$B$115),$E$52,0)+IF($I$53=13,$E$53,0)+IF(AND($I$54=13,$B$115&gt;0,13&gt;=$B$115),$E$54,0)</x:f>
        <x:v>0</x:v>
      </x:c>
      <x:c r="W86" s="299" t="n">
        <x:f>IF($I$50=14,$E$50,0)+IF($I$51=14,$E$51,0)+IF(AND($I$52=14,$B$115&gt;0,14&gt;=$B$115),$E$52,0)+IF($I$53=14,$E$53,0)+IF(AND($I$54=14,$B$115&gt;0,14&gt;=$B$115),$E$54,0)</x:f>
        <x:v>0</x:v>
      </x:c>
      <x:c r="X86" s="299" t="n">
        <x:f>IF($I$50=15,$E$50,0)+IF($I$51=15,$E$51,0)+IF(AND($I$52=15,$B$115&gt;0,15&gt;=$B$115),$E$52,0)+IF($I$53=15,$E$53,0)+IF(AND($I$54=15,$B$115&gt;0,15&gt;=$B$115),$E$54,0)</x:f>
        <x:v>0</x:v>
      </x:c>
      <x:c r="Y86" s="299" t="n">
        <x:f>IF($I$50=16,$E$50,0)+IF($I$51=16,$E$51,0)+IF(AND($I$52=16,$B$115&gt;0,16&gt;=$B$115),$E$52,0)+IF($I$53=16,$E$53,0)+IF(AND($I$54=16,$B$115&gt;0,16&gt;=$B$115),$E$54,0)</x:f>
        <x:v>0</x:v>
      </x:c>
      <x:c r="Z86" s="299" t="n">
        <x:f>IF($I$50=17,$E$50,0)+IF($I$51=17,$E$51,0)+IF(AND($I$52=17,$B$115&gt;0,17&gt;=$B$115),$E$52,0)+IF($I$53=17,$E$53,0)+IF(AND($I$54=17,$B$115&gt;0,17&gt;=$B$115),$E$54,0)</x:f>
        <x:v>0</x:v>
      </x:c>
      <x:c r="AA86" s="299" t="n">
        <x:f>IF($I$50=18,$E$50,0)+IF($I$51=18,$E$51,0)+IF(AND($I$52=18,$B$115&gt;0,18&gt;=$B$115),$E$52,0)+IF($I$53=18,$E$53,0)+IF(AND($I$54=18,$B$115&gt;0,18&gt;=$B$115),$E$54,0)</x:f>
        <x:v>0</x:v>
      </x:c>
      <x:c r="AB86" s="299" t="n">
        <x:f>IF($I$50=19,$E$50,0)+IF($I$51=19,$E$51,0)+IF(AND($I$52=19,$B$115&gt;0,19&gt;=$B$115),$E$52,0)+IF($I$53=19,$E$53,0)+IF(AND($I$54=19,$B$115&gt;0,19&gt;=$B$115),$E$54,0)</x:f>
        <x:v>0</x:v>
      </x:c>
      <x:c r="AC86" s="299" t="n">
        <x:f>IF($I$50=20,$E$50,0)+IF($I$51=20,$E$51,0)+IF(AND($I$52=20,$B$115&gt;0,20&gt;=$B$115),$E$52,0)+IF($I$53=20,$E$53,0)+IF(AND($I$54=20,$B$115&gt;0,20&gt;=$B$115),$E$54,0)</x:f>
        <x:v>0</x:v>
      </x:c>
      <x:c r="AD86" s="299" t="n">
        <x:f>IF($I$50=21,$E$50,0)+IF($I$51=21,$E$51,0)+IF(AND($I$52=21,$B$115&gt;0,21&gt;=$B$115),$E$52,0)+IF($I$53=21,$E$53,0)+IF(AND($I$54=21,$B$115&gt;0,21&gt;=$B$115),$E$54,0)</x:f>
        <x:v>0</x:v>
      </x:c>
      <x:c r="AE86" s="299" t="n">
        <x:f>IF($I$50=22,$E$50,0)+IF($I$51=22,$E$51,0)+IF(AND($I$52=22,$B$115&gt;0,22&gt;=$B$115),$E$52,0)+IF($I$53=22,$E$53,0)+IF(AND($I$54=22,$B$115&gt;0,22&gt;=$B$115),$E$54,0)</x:f>
        <x:v>0</x:v>
      </x:c>
      <x:c r="AF86" s="299" t="n">
        <x:f>IF($I$50=23,$E$50,0)+IF($I$51=23,$E$51,0)+IF(AND($I$52=23,$B$115&gt;0,23&gt;=$B$115),$E$52,0)+IF($I$53=23,$E$53,0)+IF(AND($I$54=23,$B$115&gt;0,23&gt;=$B$115),$E$54,0)</x:f>
        <x:v>0</x:v>
      </x:c>
      <x:c r="AG86" s="299" t="n">
        <x:f>IF($I$50=24,$E$50,0)+IF($I$51=24,$E$51,0)+IF(AND($I$52=24,$B$115&gt;0,24&gt;=$B$115),$E$52,0)+IF($I$53=24,$E$53,0)+IF(AND($I$54=24,$B$115&gt;0,24&gt;=$B$115),$E$54,0)</x:f>
        <x:v>0</x:v>
      </x:c>
      <x:c r="AH86" s="299" t="n">
        <x:f>IF($I$50=25,$E$50,0)+IF($I$51=25,$E$51,0)+IF(AND($I$52=25,$B$115&gt;0,25&gt;=$B$115),$E$52,0)+IF($I$53=25,$E$53,0)+IF(AND($I$54=25,$B$115&gt;0,25&gt;=$B$115),$E$54,0)</x:f>
        <x:v>0</x:v>
      </x:c>
      <x:c r="AI86" s="299" t="n">
        <x:f>IF($I$50=26,$E$50,0)+IF($I$51=26,$E$51,0)+IF(AND($I$52=26,$B$115&gt;0,26&gt;=$B$115),$E$52,0)+IF($I$53=26,$E$53,0)+IF(AND($I$54=26,$B$115&gt;0,26&gt;=$B$115),$E$54,0)</x:f>
        <x:v>0</x:v>
      </x:c>
      <x:c r="AJ86" s="299" t="n">
        <x:f>IF($I$50=27,$E$50,0)+IF($I$51=27,$E$51,0)+IF(AND($I$52=27,$B$115&gt;0,27&gt;=$B$115),$E$52,0)+IF($I$53=27,$E$53,0)+IF(AND($I$54=27,$B$115&gt;0,27&gt;=$B$115),$E$54,0)</x:f>
        <x:v>0</x:v>
      </x:c>
      <x:c r="AK86" s="299" t="n">
        <x:f>IF($I$50=28,$E$50,0)+IF($I$51=28,$E$51,0)+IF(AND($I$52=28,$B$115&gt;0,28&gt;=$B$115),$E$52,0)+IF($I$53=28,$E$53,0)+IF(AND($I$54=28,$B$115&gt;0,28&gt;=$B$115),$E$54,0)</x:f>
        <x:v>0</x:v>
      </x:c>
      <x:c r="AL86" s="299" t="n">
        <x:f>IF($I$50=29,$E$50,0)+IF($I$51=29,$E$51,0)+IF(AND($I$52=29,$B$115&gt;0,29&gt;=$B$115),$E$52,0)+IF($I$53=29,$E$53,0)+IF(AND($I$54=29,$B$115&gt;0,29&gt;=$B$115),$E$54,0)</x:f>
        <x:v>0</x:v>
      </x:c>
      <x:c r="AM86" s="299" t="n">
        <x:f>IF($I$50=30,$E$50,0)+IF($I$51=30,$E$51,0)+IF(AND($I$52=30,$B$115&gt;0,30&gt;=$B$115),$E$52,0)+IF($I$53=30,$E$53,0)+IF(AND($I$54=30,$B$115&gt;0,30&gt;=$B$115),$E$54,0)</x:f>
        <x:v>0</x:v>
      </x:c>
      <x:c r="AN86" s="299" t="n">
        <x:f>IF($I$50=31,$E$50,0)+IF($I$51=31,$E$51,0)+IF(AND($I$52=31,$B$115&gt;0,31&gt;=$B$115),$E$52,0)+IF($I$53=31,$E$53,0)+IF(AND($I$54=31,$B$115&gt;0,31&gt;=$B$115),$E$54,0)</x:f>
        <x:v>0</x:v>
      </x:c>
      <x:c r="AO86" s="299" t="n">
        <x:f>IF($I$50=32,$E$50,0)+IF($I$51=32,$E$51,0)+IF(AND($I$52=32,$B$115&gt;0,32&gt;=$B$115),$E$52,0)+IF($I$53=32,$E$53,0)+IF(AND($I$54=32,$B$115&gt;0,32&gt;=$B$115),$E$54,0)</x:f>
        <x:v>0</x:v>
      </x:c>
      <x:c r="AP86" s="299" t="n">
        <x:f>IF($I$50=33,$E$50,0)+IF($I$51=33,$E$51,0)+IF(AND($I$52=33,$B$115&gt;0,33&gt;=$B$115),$E$52,0)+IF($I$53=33,$E$53,0)+IF(AND($I$54=33,$B$115&gt;0,33&gt;=$B$115),$E$54,0)</x:f>
        <x:v>0</x:v>
      </x:c>
      <x:c r="AQ86" s="299" t="n">
        <x:f>IF($I$50=34,$E$50,0)+IF($I$51=34,$E$51,0)+IF(AND($I$52=34,$B$115&gt;0,34&gt;=$B$115),$E$52,0)+IF($I$53=34,$E$53,0)+IF(AND($I$54=34,$B$115&gt;0,34&gt;=$B$115),$E$54,0)</x:f>
        <x:v>0</x:v>
      </x:c>
      <x:c r="AR86" s="299" t="n">
        <x:f>IF($I$50=35,$E$50,0)+IF($I$51=35,$E$51,0)+IF(AND($I$52=35,$B$115&gt;0,35&gt;=$B$115),$E$52,0)+IF($I$53=35,$E$53,0)+IF(AND($I$54=35,$B$115&gt;0,35&gt;=$B$115),$E$54,0)</x:f>
        <x:v>0</x:v>
      </x:c>
      <x:c r="AS86" s="299" t="n">
        <x:f>IF($I$50=36,$E$50,0)+IF($I$51=36,$E$51,0)+IF(AND($I$52=36,$B$115&gt;0,36&gt;=$B$115),$E$52,0)+IF($I$53=36,$E$53,0)+IF(AND($I$54=36,$B$115&gt;0,36&gt;=$B$115),$E$54,0)</x:f>
        <x:v>0</x:v>
      </x:c>
    </x:row>
    <x:row r="87">
      <x:c r="A87" s="363" t="str">
        <x:v>Показатель</x:v>
      </x:c>
      <x:c r="B87" s="363" t="str">
        <x:v>Год 1</x:v>
      </x:c>
      <x:c r="C87" s="363" t="str">
        <x:v>Год 2</x:v>
      </x:c>
      <x:c r="D87" s="363" t="str">
        <x:v>Год 3</x:v>
      </x:c>
      <x:c r="E87" s="363" t="str">
        <x:v>3 года</x:v>
      </x:c>
      <x:c r="F87" s="363" t="str">
        <x:v>Комментарий</x:v>
      </x:c>
      <x:c r="G87" s="363"/>
      <x:c r="H87" s="363"/>
    </x:row>
    <x:row r="88">
      <x:c r="A88" t="str">
        <x:v>Выбранный налог, ₽</x:v>
      </x:c>
      <x:c r="B88" t="n">
        <x:f>SUM(J85:U85)</x:f>
        <x:v>1999978.020995325</x:v>
      </x:c>
      <x:c r="C88" t="n">
        <x:f>SUM(V85:AG85)</x:f>
        <x:v>4834225.178308449</x:v>
      </x:c>
      <x:c r="D88" t="n">
        <x:f>SUM(AH85:AS85)</x:f>
        <x:v>9278174.566678707</x:v>
      </x:c>
      <x:c r="E88" t="n">
        <x:f>SUM(B88:D88)</x:f>
        <x:v>16112377.76598248</x:v>
      </x:c>
      <x:c r="F88" t="str">
        <x:v>Сумма фактического monthly bridge с учетом effective-date и tax-system scenario</x:v>
      </x:c>
    </x:row>
    <x:row r="89">
      <x:c r="A89" t="str">
        <x:v>Выбранные страховые взносы, ₽</x:v>
      </x:c>
      <x:c r="B89" t="n">
        <x:f>SUM(J84:U84)</x:f>
        <x:v>8806626</x:v>
      </x:c>
      <x:c r="C89" t="n">
        <x:f>SUM(V84:AG84)</x:f>
        <x:v>10508439</x:v>
      </x:c>
      <x:c r="D89" t="n">
        <x:f>SUM(AH84:AS84)</x:f>
        <x:v>10508439</x:v>
      </x:c>
      <x:c r="E89" t="n">
        <x:f>SUM(B89:D89)</x:f>
        <x:v>29823504</x:v>
      </x:c>
      <x:c r="F89" t="str">
        <x:v>Сумма monthly payroll bridge: общий тариф до gate, льготный после подтвержденного effective-date</x:v>
      </x:c>
    </x:row>
    <x:row r="90">
      <x:c r="A90" t="str">
        <x:v>Налог + взносы, ₽</x:v>
      </x:c>
      <x:c r="B90" t="n">
        <x:f>B88+B89</x:f>
        <x:v>10806604.020995324</x:v>
      </x:c>
      <x:c r="C90" t="n">
        <x:f>C88+C89</x:f>
        <x:v>15342664.17830845</x:v>
      </x:c>
      <x:c r="D90" t="n">
        <x:f>D88+D89</x:f>
        <x:v>19786613.566678707</x:v>
      </x:c>
      <x:c r="E90" t="n">
        <x:f>SUM(B90:D90)</x:f>
        <x:v>45935881.76598248</x:v>
      </x:c>
      <x:c r="F90" t="str">
        <x:v>Фактическая нагрузка выбранного сценария по модели; НДС отдельно</x:v>
      </x:c>
    </x:row>
    <x:row r="92">
      <x:c r="A92" s="366" t="str">
        <x:v>STEADY-STATE нагрузка сценариев — налог + взносы, без НДС</x:v>
      </x:c>
      <x:c r="B92" s="366"/>
      <x:c r="C92" s="366"/>
      <x:c r="D92" s="366"/>
      <x:c r="E92" s="366"/>
      <x:c r="F92" s="366"/>
      <x:c r="G92" s="366"/>
      <x:c r="H92" s="366"/>
    </x:row>
    <x:row r="93">
      <x:c r="A93" s="363" t="str">
        <x:v>Сценарий</x:v>
      </x:c>
      <x:c r="B93" s="363" t="str">
        <x:v>Год 1</x:v>
      </x:c>
      <x:c r="C93" s="363" t="str">
        <x:v>Год 2</x:v>
      </x:c>
      <x:c r="D93" s="363" t="str">
        <x:v>Год 3</x:v>
      </x:c>
      <x:c r="E93" s="363" t="str">
        <x:v>3 года</x:v>
      </x:c>
      <x:c r="F93" s="363" t="str">
        <x:v>Комментарий</x:v>
      </x:c>
    </x:row>
    <x:row r="94">
      <x:c r="A94" t="str">
        <x:v>СПб IT — УСН 1% «Доходы»</x:v>
      </x:c>
      <x:c r="B94" t="n">
        <x:f>B33+B75</x:f>
        <x:v>4739405.670165887</x:v>
      </x:c>
      <x:c r="C94" t="n">
        <x:f>C33+C75</x:f>
        <x:v>6063318.196384742</x:v>
      </x:c>
      <x:c r="D94" t="n">
        <x:f>D33+D75</x:f>
        <x:v>6793904.789612919</x:v>
      </x:c>
      <x:c r="E94" t="n">
        <x:f>SUM(B94:D94)</x:f>
        <x:v>17596628.656163547</x:v>
      </x:c>
      <x:c r="F94" t="str">
        <x:v>Steady-state после IT gates; не равно base-case до effective-date</x:v>
      </x:c>
    </x:row>
    <x:row r="95">
      <x:c r="A95" t="str">
        <x:v>СПб IT — УСН 5% «Д-Р»</x:v>
      </x:c>
      <x:c r="B95" t="n">
        <x:f>B34+B75</x:f>
        <x:v>5072735.340331775</x:v>
      </x:c>
      <x:c r="C95" t="n">
        <x:f>C34+C75</x:f>
        <x:v>8038680.184458444</x:v>
      </x:c>
      <x:c r="D95" t="n">
        <x:f>D34+D75</x:f>
        <x:v>13408778.136321887</x:v>
      </x:c>
      <x:c r="E95" t="n">
        <x:f>SUM(B95:D95)</x:f>
        <x:v>26520193.661112107</x:v>
      </x:c>
      <x:c r="F95" t="str">
        <x:v>Steady-state после IT gates; minimum tax учтен</x:v>
      </x:c>
    </x:row>
    <x:row r="96">
      <x:c r="A96" t="str">
        <x:v>Аккредитованная IT — ОСНО 5%</x:v>
      </x:c>
      <x:c r="B96" t="n">
        <x:f>B35+B75</x:f>
        <x:v>4406076</x:v>
      </x:c>
      <x:c r="C96" t="n">
        <x:f>C35+C75</x:f>
        <x:v>8038680.184458444</x:v>
      </x:c>
      <x:c r="D96" t="n">
        <x:f>D35+D75</x:f>
        <x:v>13408778.136321887</x:v>
      </x:c>
      <x:c r="E96" t="n">
        <x:f>SUM(B96:D96)</x:f>
        <x:v>25853534.32078033</x:v>
      </x:c>
      <x:c r="F96" t="str">
        <x:v>Steady-state после IT gates; proxy налоговой прибыли</x:v>
      </x:c>
    </x:row>
    <x:row r="97">
      <x:c r="A97" t="str">
        <x:v>Сколково + УСН 6%</x:v>
      </x:c>
      <x:c r="B97" t="n">
        <x:f>B36+B76</x:f>
        <x:v>7473337.920995326</x:v>
      </x:c>
      <x:c r="C97" t="n">
        <x:f>C36+C76</x:f>
        <x:v>11398887.278308447</x:v>
      </x:c>
      <x:c r="D97" t="n">
        <x:f>D36+D76</x:f>
        <x:v>18435489.47535502</x:v>
      </x:c>
      <x:c r="E97" t="n">
        <x:f>SUM(B97:D97)</x:f>
        <x:v>37307714.67465879</x:v>
      </x:c>
      <x:c r="F97" t="str">
        <x:v>УСН не обнуляется статусом Сколково; взносы Сколково</x:v>
      </x:c>
    </x:row>
    <x:row r="98">
      <x:c r="A98" t="str">
        <x:v>Сколково + ОСНО — освобождение прибыли</x:v>
      </x:c>
      <x:c r="B98" t="n">
        <x:f>B37+B76</x:f>
        <x:v>5473359.9</x:v>
      </x:c>
      <x:c r="C98" t="n">
        <x:f>C37+C76</x:f>
        <x:v>6564662.099999999</x:v>
      </x:c>
      <x:c r="D98" t="n">
        <x:f>D37+D76</x:f>
        <x:v>6564662.099999999</x:v>
      </x:c>
      <x:c r="E98" t="n">
        <x:f>SUM(B98:D98)</x:f>
        <x:v>18602684.099999998</x:v>
      </x:c>
      <x:c r="F98" t="str">
        <x:v>Только ОСНО + статус + уведомление; прибыль 0% при сохранении права</x:v>
      </x:c>
    </x:row>
    <x:row r="99">
      <x:c r="A99" s="389" t="str">
        <x:v>ПОТЕНЦИАЛЬНЫЙ НДС exposure после Реестра ПО — не включен в base P&amp;L</x:v>
      </x:c>
      <x:c r="B99" s="389"/>
      <x:c r="C99" s="389"/>
      <x:c r="D99" s="389"/>
      <x:c r="E99" s="389"/>
      <x:c r="F99" s="389"/>
      <x:c r="G99" s="389"/>
      <x:c r="H99" s="389"/>
    </x:row>
    <x:row r="100">
      <x:c r="A100" s="392" t="str">
        <x:v>Показатель</x:v>
      </x:c>
      <x:c r="B100" s="392" t="str">
        <x:v>Год 1</x:v>
      </x:c>
      <x:c r="C100" s="392" t="str">
        <x:v>Год 2</x:v>
      </x:c>
      <x:c r="D100" s="392" t="str">
        <x:v>Год 3</x:v>
      </x:c>
      <x:c r="E100" s="392" t="str">
        <x:v>3 года</x:v>
      </x:c>
      <x:c r="F100" s="392" t="str">
        <x:v>Комментарий</x:v>
      </x:c>
    </x:row>
    <x:row r="101">
      <x:c r="A101" t="str">
        <x:v>Доля выручки, потенциально освобождаемая от НДС</x:v>
      </x:c>
      <x:c r="B101" s="36" t="n">
        <x:f>'CONTRACT-NDS MATRIX'!B36</x:f>
        <x:v>0.8762486400341404</x:v>
      </x:c>
      <x:c r="C101" s="36" t="n">
        <x:f>'CONTRACT-NDS MATRIX'!C36</x:f>
        <x:v>0.9447067544144621</x:v>
      </x:c>
      <x:c r="D101" s="36" t="n">
        <x:f>'CONTRACT-NDS MATRIX'!D36</x:f>
        <x:v>0.9677795373540761</x:v>
      </x:c>
      <x:c r="E101" s="36" t="n">
        <x:f>AVERAGE(B101:D101)</x:f>
        <x:v>0.9295783106008928</x:v>
      </x:c>
      <x:c r="F101" t="str">
        <x:v>Зависит от Реестра ПО и формы договоров</x:v>
      </x:c>
    </x:row>
    <x:row r="102">
      <x:c r="A102" t="str">
        <x:v>НДС-облагаемая выручка, ₽</x:v>
      </x:c>
      <x:c r="B102" s="299" t="n">
        <x:f>'CONTRACT-NDS MATRIX'!B35</x:f>
        <x:v>8250000</x:v>
      </x:c>
      <x:c r="C102" s="299" t="n">
        <x:f>'CONTRACT-NDS MATRIX'!C35</x:f>
        <x:v>8910000</x:v>
      </x:c>
      <x:c r="D102" s="299" t="n">
        <x:f>'CONTRACT-NDS MATRIX'!D35</x:f>
        <x:v>9900000</x:v>
      </x:c>
      <x:c r="E102" s="299" t="n">
        <x:f>SUM(B102:D102)</x:f>
        <x:v>27060000</x:v>
      </x:c>
      <x:c r="F102" t="str">
        <x:v>Консервативная база после assumptions</x:v>
      </x:c>
    </x:row>
    <x:row r="103">
      <x:c r="A103" t="str">
        <x:v>НДС cost при цене «включая НДС», ₽</x:v>
      </x:c>
      <x:c r="B103" s="299" t="n">
        <x:f>'CONTRACT-NDS MATRIX'!B38</x:f>
        <x:v>392857.14285714284</x:v>
      </x:c>
      <x:c r="C103" s="299" t="n">
        <x:f>'CONTRACT-NDS MATRIX'!C38</x:f>
        <x:v>424285.71428571426</x:v>
      </x:c>
      <x:c r="D103" s="299" t="n">
        <x:f>'CONTRACT-NDS MATRIX'!D38</x:f>
        <x:v>647663.5514018693</x:v>
      </x:c>
      <x:c r="E103" s="299" t="n">
        <x:f>SUM(B103:D103)</x:f>
        <x:v>1464806.4085447262</x:v>
      </x:c>
      <x:c r="F103" t="str">
        <x:v>Если фиксированная contract price включает налог</x:v>
      </x:c>
    </x:row>
    <x:row r="104">
      <x:c r="A104" t="str">
        <x:v>НДС impact при цене «+ НДС», ₽</x:v>
      </x:c>
      <x:c r="B104" s="299" t="n">
        <x:f>'CONTRACT-NDS MATRIX'!B39</x:f>
        <x:v>0</x:v>
      </x:c>
      <x:c r="C104" s="299" t="n">
        <x:f>'CONTRACT-NDS MATRIX'!C39</x:f>
        <x:v>0</x:v>
      </x:c>
      <x:c r="D104" s="299" t="n">
        <x:f>'CONTRACT-NDS MATRIX'!D39</x:f>
        <x:v>0</x:v>
      </x:c>
      <x:c r="E104" s="299" t="n">
        <x:f>SUM(B104:D104)</x:f>
        <x:v>0</x:v>
      </x:c>
      <x:c r="F104" t="str">
        <x:v>Если договор предусматривает net price + применимый НДС</x:v>
      </x:c>
    </x:row>
    <x:row r="106">
      <x:c r="A106" s="410" t="str">
        <x:v>STATUS / EFFECTIVE-DATE GATES — управляют P&amp;L и Cash Flow</x:v>
      </x:c>
      <x:c r="B106" s="410"/>
      <x:c r="C106" s="410"/>
      <x:c r="D106" s="410"/>
      <x:c r="E106" s="410"/>
      <x:c r="F106" s="410"/>
      <x:c r="G106" s="410"/>
      <x:c r="H106" s="410"/>
    </x:row>
    <x:row r="107">
      <x:c r="A107" s="409" t="str">
        <x:v>Параметр</x:v>
      </x:c>
      <x:c r="B107" s="409" t="str">
        <x:v>Значение</x:v>
      </x:c>
      <x:c r="C107" s="409" t="str">
        <x:v>Тип</x:v>
      </x:c>
      <x:c r="D107" s="409" t="str">
        <x:v>Что означает</x:v>
      </x:c>
      <x:c r="E107" s="409" t="str">
        <x:v>Источник</x:v>
      </x:c>
      <x:c r="F107" s="409" t="str">
        <x:v>Комментарий</x:v>
      </x:c>
      <x:c r="G107" s="409"/>
      <x:c r="H107" s="409"/>
    </x:row>
    <x:row r="108">
      <x:c r="A108" s="32" t="str">
        <x:v>IT-взносы: effective month</x:v>
      </x:c>
      <x:c r="B108" s="411" t="n">
        <x:v>0</x:v>
      </x:c>
      <x:c r="C108" s="32" t="str">
        <x:v>INPUT</x:v>
      </x:c>
      <x:c r="D108" s="32" t="str">
        <x:v>0 = льгота еще не активна</x:v>
      </x:c>
      <x:c r="E108" s="32" t="str">
        <x:v>https://www.nalog.gov.ru/new2026/</x:v>
      </x:c>
      <x:c r="F108" s="32" t="str">
        <x:v>Установить месяц только после подтверждения права.</x:v>
      </x:c>
      <x:c r="G108" s="32"/>
      <x:c r="H108" s="32"/>
    </x:row>
    <x:row r="109">
      <x:c r="A109" s="32" t="str">
        <x:v>СПб IT УСН 1%/5%: effective month</x:v>
      </x:c>
      <x:c r="B109" s="411" t="n">
        <x:v>0</x:v>
      </x:c>
      <x:c r="C109" s="32" t="str">
        <x:v>INPUT</x:v>
      </x:c>
      <x:c r="D109" s="32" t="str">
        <x:v>0 = региональная IT-ставка еще не применяется</x:v>
      </x:c>
      <x:c r="E109" s="32" t="str">
        <x:v>https://www.nalog.gov.ru/rn78/taxation/taxes/usn/</x:v>
      </x:c>
      <x:c r="F109" s="32" t="str">
        <x:v>Отдельный gate от IT-аккредитации; дату подтверждает налоговый юрист.</x:v>
      </x:c>
      <x:c r="G109" s="32"/>
      <x:c r="H109" s="32"/>
    </x:row>
    <x:row r="110">
      <x:c r="A110" s="32" t="str">
        <x:v>Сколково: месяц получения статуса</x:v>
      </x:c>
      <x:c r="B110" s="411" t="n">
        <x:v>0</x:v>
      </x:c>
      <x:c r="C110" s="32" t="str">
        <x:v>INPUT</x:v>
      </x:c>
      <x:c r="D110" s="32" t="str">
        <x:v>0 = статуса нет</x:v>
      </x:c>
      <x:c r="E110" s="32" t="str">
        <x:v>https://sk.ru/tax-facilities/</x:v>
      </x:c>
      <x:c r="F110" s="32" t="str">
        <x:v>Взносы Сколково — с месяца, следующего за статусом.</x:v>
      </x:c>
      <x:c r="G110" s="32"/>
      <x:c r="H110" s="32"/>
    </x:row>
    <x:row r="111">
      <x:c r="A111" s="32" t="str">
        <x:v>Сколково: effective month взносов</x:v>
      </x:c>
      <x:c r="B111" s="412" t="n">
        <x:f>IF(B110&gt;0,B110+1,0)</x:f>
        <x:v>0</x:v>
      </x:c>
      <x:c r="C111" s="32" t="str">
        <x:v>FORMULA</x:v>
      </x:c>
      <x:c r="D111" s="32" t="str">
        <x:v>Статус + 1 месяц</x:v>
      </x:c>
      <x:c r="E111" s="32" t="str">
        <x:v>https://sk.ru/tax-facilities/</x:v>
      </x:c>
      <x:c r="F111" s="32" t="str">
        <x:v>Автоматически.</x:v>
      </x:c>
      <x:c r="G111" s="32"/>
      <x:c r="H111" s="32"/>
    </x:row>
    <x:row r="112">
      <x:c r="A112" s="32" t="str">
        <x:v>Переход на ОСНО: effective month</x:v>
      </x:c>
      <x:c r="B112" s="412" t="n">
        <x:v>13</x:v>
      </x:c>
      <x:c r="C112" s="32" t="str">
        <x:v>INPUT</x:v>
      </x:c>
      <x:c r="D112" s="32" t="str">
        <x:v>Для добровольного перехода с УСН — с начала календарного года</x:v>
      </x:c>
      <x:c r="E112" s="32" t="str">
        <x:v>https://www.nalog.gov.ru/rn78/taxation/taxes/usn/</x:v>
      </x:c>
      <x:c r="F112" s="32" t="str">
        <x:v>По умолчанию М13 = 01.01.2028; менять только после решения.</x:v>
      </x:c>
      <x:c r="G112" s="32"/>
      <x:c r="H112" s="32"/>
    </x:row>
    <x:row r="113">
      <x:c r="A113" s="32" t="str">
        <x:v>Сколково + ОСНО: effective month освобождения прибыли</x:v>
      </x:c>
      <x:c r="B113" s="412" t="n">
        <x:f>IF(AND(B110&gt;0,B112&gt;0),MAX(B110+1,B112),0)</x:f>
        <x:v>0</x:v>
      </x:c>
      <x:c r="C113" s="32" t="str">
        <x:v>FORMULA</x:v>
      </x:c>
      <x:c r="D113" s="32" t="str">
        <x:v>Позднейшая из дат: ОСНО и месяц после статуса</x:v>
      </x:c>
      <x:c r="E113" s="32" t="str">
        <x:v>https://sk.ru/tax-facilities/</x:v>
      </x:c>
      <x:c r="F113" s="32" t="str">
        <x:v>Если статус или ОСНО не активны — 0.</x:v>
      </x:c>
      <x:c r="G113" s="32"/>
      <x:c r="H113" s="32"/>
    </x:row>
    <x:row r="114">
      <x:c r="A114" s="32" t="str">
        <x:v>Реестр российского ПО: effective month</x:v>
      </x:c>
      <x:c r="B114" s="411" t="n">
        <x:v>0</x:v>
      </x:c>
      <x:c r="C114" s="32" t="str">
        <x:v>INPUT</x:v>
      </x:c>
      <x:c r="D114" s="32" t="str">
        <x:v>0 = Реестр еще не получен</x:v>
      </x:c>
      <x:c r="E114" s="32" t="str">
        <x:v>https://reestr.digital.gov.ru/</x:v>
      </x:c>
      <x:c r="F114" s="32" t="str">
        <x:v>НДС-льгота по software flows не считается фактом до этой даты.</x:v>
      </x:c>
      <x:c r="G114" s="32"/>
      <x:c r="H114" s="32"/>
    </x:row>
    <x:row r="115">
      <x:c r="A115" s="32" t="str">
        <x:v>МТК: effective month</x:v>
      </x:c>
      <x:c r="B115" s="411" t="n">
        <x:v>0</x:v>
      </x:c>
      <x:c r="C115" s="32" t="str">
        <x:v>INPUT</x:v>
      </x:c>
      <x:c r="D115" s="32" t="str">
        <x:v>0 = статуса МТК нет</x:v>
      </x:c>
      <x:c r="E115" s="32" t="str">
        <x:v>https://corpmsp.ru/about/press/news/novosti-korporatsii/malye-tekhnologicheskie-kompanii-poluchat-do-20-mlrd-rubley-lgotnogo-finansirovaniya-v-2026-godu/</x:v>
      </x:c>
      <x:c r="F115" s="32" t="str">
        <x:v>Используется как gate для MTC-only поддержки.</x:v>
      </x:c>
      <x:c r="G115" s="32"/>
      <x:c r="H115" s="32"/>
    </x:row>
    <x:row r="116">
      <x:c r="A116" s="32" t="str">
        <x:v>IT налог на прибыль 5%: effective month</x:v>
      </x:c>
      <x:c r="B116" s="417" t="n">
        <x:v>0</x:v>
      </x:c>
      <x:c r="C116" s="32" t="str">
        <x:v>INPUT</x:v>
      </x:c>
      <x:c r="D116" s="32" t="str">
        <x:v>0 = федеральная IT-ставка по прибыли еще не применяется</x:v>
      </x:c>
      <x:c r="E116" s="32" t="str">
        <x:v>https://www.nalog.gov.ru/rn77/news/tax_doc_news/15578813/</x:v>
      </x:c>
      <x:c r="F116" s="32" t="str">
        <x:v>Отдельный gate от страховых взносов; использовать после подтверждения выполнения условий.</x:v>
      </x:c>
      <x:c r="G116" s="32"/>
      <x:c r="H116" s="32"/>
    </x:row>
    <x:row r="117">
      <x:c r="A117" s="408" t="str">
        <x:v>НДС при УСН — два разных теста ст.145 НК РФ</x:v>
      </x:c>
      <x:c r="B117" s="408"/>
      <x:c r="C117" s="408"/>
      <x:c r="D117" s="408"/>
      <x:c r="E117" s="408"/>
      <x:c r="F117" s="408"/>
      <x:c r="G117" s="408"/>
      <x:c r="H117" s="408"/>
    </x:row>
    <x:row r="118">
      <x:c r="A118" s="409" t="str">
        <x:v>Тест</x:v>
      </x:c>
      <x:c r="B118" s="409" t="str">
        <x:v>2027</x:v>
      </x:c>
      <x:c r="C118" s="409" t="str">
        <x:v>2028</x:v>
      </x:c>
      <x:c r="D118" s="409" t="str">
        <x:v>2029</x:v>
      </x:c>
      <x:c r="E118" s="409" t="str">
        <x:v>Источник</x:v>
      </x:c>
      <x:c r="F118" s="409" t="str">
        <x:v>Комментарий</x:v>
      </x:c>
      <x:c r="G118" s="32"/>
      <x:c r="H118" s="32"/>
    </x:row>
    <x:row r="119">
      <x:c r="A119" s="32" t="str">
        <x:v>Лимит дохода предыдущего года для освобождения с 1 января, ₽</x:v>
      </x:c>
      <x:c r="B119" s="309" t="n">
        <x:v>20000000</x:v>
      </x:c>
      <x:c r="C119" s="309" t="n">
        <x:v>20000000</x:v>
      </x:c>
      <x:c r="D119" s="309" t="n">
        <x:v>20000000</x:v>
      </x:c>
      <x:c r="E119" s="32" t="str">
        <x:v>https://www.consultant.ru/document/cons_doc_LAW_28165/8f399ec989074fdad875f9a672a1b091ea9bf05c/</x:v>
      </x:c>
      <x:c r="F119" s="32" t="str">
        <x:v>Для старта 2027 смотрим 2026; для 2028 — 2027; для 2029 — 2028.</x:v>
      </x:c>
      <x:c r="G119" s="32"/>
      <x:c r="H119" s="32"/>
    </x:row>
    <x:row r="120">
      <x:c r="A120" s="32" t="str">
        <x:v>Внутригoдовой лимит для утраты освобождения, ₽</x:v>
      </x:c>
      <x:c r="B120" s="309" t="n">
        <x:v>20000000</x:v>
      </x:c>
      <x:c r="C120" s="309" t="n">
        <x:v>20000000</x:v>
      </x:c>
      <x:c r="D120" s="309" t="n">
        <x:v>20000000</x:v>
      </x:c>
      <x:c r="E120" s="32" t="str">
        <x:v>https://www.consultant.ru/document/cons_doc_LAW_28165/8f399ec989074fdad875f9a672a1b091ea9bf05c/</x:v>
      </x:c>
      <x:c r="F120" s="32" t="str">
        <x:v>Если превышен — НДС с 1-го числа следующего месяца.</x:v>
      </x:c>
      <x:c r="G120" s="32"/>
      <x:c r="H120" s="32"/>
    </x:row>
    <x:row r="121">
      <x:c r="A121" s="32" t="str">
        <x:v>Следующий шаг снижения</x:v>
      </x:c>
      <x:c r="B121" s="32" t="str">
        <x:v>2030: 15 млн</x:v>
      </x:c>
      <x:c r="C121" s="32" t="str">
        <x:v>2031+: 10 млн</x:v>
      </x:c>
      <x:c r="D121" s="32"/>
      <x:c r="E121" s="32" t="str">
        <x:v>https://www.consultant.ru/document/cons_doc_LAW_28165/8f399ec989074fdad875f9a672a1b091ea9bf05c/</x:v>
      </x:c>
      <x:c r="F121" s="32" t="str">
        <x:v>Не смешивать с модельными 2027–2029.</x:v>
      </x:c>
      <x:c r="G121" s="32"/>
      <x:c r="H121" s="32"/>
    </x:row>
    <x:row r="122">
      <x:c r="A122" s="32"/>
      <x:c r="B122" s="32"/>
      <x:c r="C122" s="32"/>
      <x:c r="D122" s="32"/>
      <x:c r="E122" s="32"/>
      <x:c r="F122" s="32"/>
      <x:c r="G122" s="32"/>
      <x:c r="H122" s="32"/>
    </x:row>
    <x:row r="123">
      <x:c r="A123" s="408" t="str">
        <x:v>Страховые взносы — pre-benefit fallback и статусные режимы</x:v>
      </x:c>
      <x:c r="B123" s="408"/>
      <x:c r="C123" s="408"/>
      <x:c r="D123" s="408"/>
      <x:c r="E123" s="408"/>
      <x:c r="F123" s="408"/>
      <x:c r="G123" s="408"/>
      <x:c r="H123" s="408"/>
    </x:row>
    <x:row r="124">
      <x:c r="A124" s="32" t="str">
        <x:v>Параметр</x:v>
      </x:c>
      <x:c r="B124" s="32" t="str">
        <x:v>Год 1</x:v>
      </x:c>
      <x:c r="C124" s="32" t="str">
        <x:v>Год 2</x:v>
      </x:c>
      <x:c r="D124" s="32" t="str">
        <x:v>Год 3</x:v>
      </x:c>
      <x:c r="E124" s="32" t="str">
        <x:v>Статус</x:v>
      </x:c>
      <x:c r="F124" s="32" t="str">
        <x:v>Комментарий</x:v>
      </x:c>
      <x:c r="G124" s="32"/>
      <x:c r="H124" s="32"/>
    </x:row>
    <x:row r="125">
      <x:c r="A125" s="32" t="str">
        <x:v>Общий тариф до предельной базы</x:v>
      </x:c>
      <x:c r="B125" s="308" t="n">
        <x:v>0.3</x:v>
      </x:c>
      <x:c r="C125" s="308" t="n">
        <x:v>0.3</x:v>
      </x:c>
      <x:c r="D125" s="308" t="n">
        <x:v>0.3</x:v>
      </x:c>
      <x:c r="E125" s="32" t="str">
        <x:v>Федеральный</x:v>
      </x:c>
      <x:c r="F125" s="32" t="str">
        <x:v>До специальных льгот</x:v>
      </x:c>
      <x:c r="G125" s="32"/>
      <x:c r="H125" s="32"/>
    </x:row>
    <x:row r="126">
      <x:c r="A126" s="32" t="str">
        <x:v>Общий тариф сверх предельной базы</x:v>
      </x:c>
      <x:c r="B126" s="308" t="n">
        <x:v>0.151</x:v>
      </x:c>
      <x:c r="C126" s="308" t="n">
        <x:v>0.151</x:v>
      </x:c>
      <x:c r="D126" s="308" t="n">
        <x:v>0.151</x:v>
      </x:c>
      <x:c r="E126" s="32" t="str">
        <x:v>Федеральный</x:v>
      </x:c>
      <x:c r="F126" s="32" t="str">
        <x:v>До специальных льгот</x:v>
      </x:c>
      <x:c r="G126" s="32"/>
      <x:c r="H126" s="32"/>
    </x:row>
    <x:row r="127">
      <x:c r="A127" s="32" t="str">
        <x:v>Стандартные взносы, ₽</x:v>
      </x:c>
      <x:c r="B127" s="309" t="n">
        <x:f>IF(('Команда'!$G$4="Штат"),MIN(('Команда'!$B$4*'Команда'!$I$4),$B66)*B$125+MAX(('Команда'!$B$4*'Команда'!$I$4)-$B66,0)*B$126,0)+IF(('Команда'!$G$5="Штат"),MIN(('Команда'!$B$5*'Команда'!$I$5),$B66)*B$125+MAX(('Команда'!$B$5*'Команда'!$I$5)-$B66,0)*B$126,0)+IF(('Команда'!$G$6="Штат"),MIN(('Команда'!$B$6*'Команда'!$I$6),$B66)*B$125+MAX(('Команда'!$B$6*'Команда'!$I$6)-$B66,0)*B$126,0)+IF(('Команда'!$G$7="Штат"),MIN(('Команда'!$B$7*'Команда'!$I$7),$B66)*B$125+MAX(('Команда'!$B$7*'Команда'!$I$7)-$B66,0)*B$126,0)+IF(('Команда'!$G$8="Штат"),MIN(('Команда'!$B$8*'Команда'!$I$8),$B66)*B$125+MAX(('Команда'!$B$8*'Команда'!$I$8)-$B66,0)*B$126,0)+IF(('Команда'!$G$9="Штат"),MIN(('Команда'!$B$9*'Команда'!$I$9),$B66)*B$125+MAX(('Команда'!$B$9*'Команда'!$I$9)-$B66,0)*B$126,0)+IF(('Команда'!$G$10="Штат"),MIN(('Команда'!$B$10*'Команда'!$I$10),$B66)*B$125+MAX(('Команда'!$B$10*'Команда'!$I$10)-$B66,0)*B$126,0)+IF(('Команда'!$G$11="Штат"),MIN(('Команда'!$B$11*'Команда'!$I$11),$B66)*B$125+MAX(('Команда'!$B$11*'Команда'!$I$11)-$B66,0)*B$126,0)+IF(('Команда'!$G$12="Штат"),MIN(('Команда'!$B$12*'Команда'!$I$12),$B66)*B$125+MAX(('Команда'!$B$12*'Команда'!$I$12)-$B66,0)*B$126,0)+IF(('Команда'!$G$13="Штат"),MIN(('Команда'!$B$13*'Команда'!$I$13),$B66)*B$125+MAX(('Команда'!$B$13*'Команда'!$I$13)-$B66,0)*B$126,0)+IF(('Команда'!$G$14="Штат"),MIN(('Команда'!$B$14*'Команда'!$I$14),$B66)*B$125+MAX(('Команда'!$B$14*'Команда'!$I$14)-$B66,0)*B$126,0)+IF(('Команда'!$G$15="Штат"),MIN(('Команда'!$B$15*'Команда'!$I$15),$B66)*B$125+MAX(('Команда'!$B$15*'Команда'!$I$15)-$B66,0)*B$126,0)+IF(('Команда'!$G$16="Штат"),MIN(('Команда'!$B$16*'Команда'!$I$16),$B66)*B$125+MAX(('Команда'!$B$16*'Команда'!$I$16)-$B66,0)*B$126,0)</x:f>
        <x:v>8806626</x:v>
      </x:c>
      <x:c r="C127" s="309" t="n">
        <x:f>IF(('Команда'!$G$4="Штат"),MIN(('Команда'!$B$4*'Команда'!$J$4),$C66)*C$125+MAX(('Команда'!$B$4*'Команда'!$J$4)-$C66,0)*C$126,0)+IF(('Команда'!$G$5="Штат"),MIN(('Команда'!$B$5*'Команда'!$J$5),$C66)*C$125+MAX(('Команда'!$B$5*'Команда'!$J$5)-$C66,0)*C$126,0)+IF(('Команда'!$G$6="Штат"),MIN(('Команда'!$B$6*'Команда'!$J$6),$C66)*C$125+MAX(('Команда'!$B$6*'Команда'!$J$6)-$C66,0)*C$126,0)+IF(('Команда'!$G$7="Штат"),MIN(('Команда'!$B$7*'Команда'!$J$7),$C66)*C$125+MAX(('Команда'!$B$7*'Команда'!$J$7)-$C66,0)*C$126,0)+IF(('Команда'!$G$8="Штат"),MIN(('Команда'!$B$8*'Команда'!$J$8),$C66)*C$125+MAX(('Команда'!$B$8*'Команда'!$J$8)-$C66,0)*C$126,0)+IF(('Команда'!$G$9="Штат"),MIN(('Команда'!$B$9*'Команда'!$J$9),$C66)*C$125+MAX(('Команда'!$B$9*'Команда'!$J$9)-$C66,0)*C$126,0)+IF(('Команда'!$G$10="Штат"),MIN(('Команда'!$B$10*'Команда'!$J$10),$C66)*C$125+MAX(('Команда'!$B$10*'Команда'!$J$10)-$C66,0)*C$126,0)+IF(('Команда'!$G$11="Штат"),MIN(('Команда'!$B$11*'Команда'!$J$11),$C66)*C$125+MAX(('Команда'!$B$11*'Команда'!$J$11)-$C66,0)*C$126,0)+IF(('Команда'!$G$12="Штат"),MIN(('Команда'!$B$12*'Команда'!$J$12),$C66)*C$125+MAX(('Команда'!$B$12*'Команда'!$J$12)-$C66,0)*C$126,0)+IF(('Команда'!$G$13="Штат"),MIN(('Команда'!$B$13*'Команда'!$J$13),$C66)*C$125+MAX(('Команда'!$B$13*'Команда'!$J$13)-$C66,0)*C$126,0)+IF(('Команда'!$G$14="Штат"),MIN(('Команда'!$B$14*'Команда'!$J$14),$C66)*C$125+MAX(('Команда'!$B$14*'Команда'!$J$14)-$C66,0)*C$126,0)+IF(('Команда'!$G$15="Штат"),MIN(('Команда'!$B$15*'Команда'!$J$15),$C66)*C$125+MAX(('Команда'!$B$15*'Команда'!$J$15)-$C66,0)*C$126,0)+IF(('Команда'!$G$16="Штат"),MIN(('Команда'!$B$16*'Команда'!$J$16),$C66)*C$125+MAX(('Команда'!$B$16*'Команда'!$J$16)-$C66,0)*C$126,0)</x:f>
        <x:v>10508439</x:v>
      </x:c>
      <x:c r="D127" s="309" t="n">
        <x:f>IF(('Команда'!$G$4="Штат"),MIN(('Команда'!$B$4*'Команда'!$K$4),$D66)*D$125+MAX(('Команда'!$B$4*'Команда'!$K$4)-$D66,0)*D$126,0)+IF(('Команда'!$G$5="Штат"),MIN(('Команда'!$B$5*'Команда'!$K$5),$D66)*D$125+MAX(('Команда'!$B$5*'Команда'!$K$5)-$D66,0)*D$126,0)+IF(('Команда'!$G$6="Штат"),MIN(('Команда'!$B$6*'Команда'!$K$6),$D66)*D$125+MAX(('Команда'!$B$6*'Команда'!$K$6)-$D66,0)*D$126,0)+IF(('Команда'!$G$7="Штат"),MIN(('Команда'!$B$7*'Команда'!$K$7),$D66)*D$125+MAX(('Команда'!$B$7*'Команда'!$K$7)-$D66,0)*D$126,0)+IF(('Команда'!$G$8="Штат"),MIN(('Команда'!$B$8*'Команда'!$K$8),$D66)*D$125+MAX(('Команда'!$B$8*'Команда'!$K$8)-$D66,0)*D$126,0)+IF(('Команда'!$G$9="Штат"),MIN(('Команда'!$B$9*'Команда'!$K$9),$D66)*D$125+MAX(('Команда'!$B$9*'Команда'!$K$9)-$D66,0)*D$126,0)+IF(('Команда'!$G$10="Штат"),MIN(('Команда'!$B$10*'Команда'!$K$10),$D66)*D$125+MAX(('Команда'!$B$10*'Команда'!$K$10)-$D66,0)*D$126,0)+IF(('Команда'!$G$11="Штат"),MIN(('Команда'!$B$11*'Команда'!$K$11),$D66)*D$125+MAX(('Команда'!$B$11*'Команда'!$K$11)-$D66,0)*D$126,0)+IF(('Команда'!$G$12="Штат"),MIN(('Команда'!$B$12*'Команда'!$K$12),$D66)*D$125+MAX(('Команда'!$B$12*'Команда'!$K$12)-$D66,0)*D$126,0)+IF(('Команда'!$G$13="Штат"),MIN(('Команда'!$B$13*'Команда'!$K$13),$D66)*D$125+MAX(('Команда'!$B$13*'Команда'!$K$13)-$D66,0)*D$126,0)+IF(('Команда'!$G$14="Штат"),MIN(('Команда'!$B$14*'Команда'!$K$14),$D66)*D$125+MAX(('Команда'!$B$14*'Команда'!$K$14)-$D66,0)*D$126,0)+IF(('Команда'!$G$15="Штат"),MIN(('Команда'!$B$15*'Команда'!$K$15),$D66)*D$125+MAX(('Команда'!$B$15*'Команда'!$K$15)-$D66,0)*D$126,0)+IF(('Команда'!$G$16="Штат"),MIN(('Команда'!$B$16*'Команда'!$K$16),$D66)*D$125+MAX(('Команда'!$B$16*'Команда'!$K$16)-$D66,0)*D$126,0)</x:f>
        <x:v>10508439</x:v>
      </x:c>
      <x:c r="E127" s="32" t="str">
        <x:v>Расчет</x:v>
      </x:c>
      <x:c r="F127" s="32" t="str">
        <x:v>30% / 15,1% по каждому штатному сотруднику</x:v>
      </x:c>
      <x:c r="G127" s="32"/>
      <x:c r="H127" s="32"/>
    </x:row>
    <x:row r="128">
      <x:c r="A128" s="32" t="str">
        <x:v>IT-взносы, ₽</x:v>
      </x:c>
      <x:c r="B128" s="309" t="n">
        <x:f>B75</x:f>
        <x:v>4406076</x:v>
      </x:c>
      <x:c r="C128" s="309" t="n">
        <x:f>C75</x:f>
        <x:v>5257614</x:v>
      </x:c>
      <x:c r="D128" s="309" t="n">
        <x:f>D75</x:f>
        <x:v>5257614</x:v>
      </x:c>
      <x:c r="E128" s="32" t="str">
        <x:v>Расчет</x:v>
      </x:c>
      <x:c r="F128" s="32" t="str">
        <x:v>15% / 7,6% по каждому штатному сотруднику</x:v>
      </x:c>
      <x:c r="G128" s="32"/>
      <x:c r="H128" s="32"/>
    </x:row>
    <x:row r="129">
      <x:c r="A129" s="32"/>
      <x:c r="B129" s="32"/>
      <x:c r="C129" s="32"/>
      <x:c r="D129" s="32"/>
      <x:c r="E129" s="32"/>
      <x:c r="F129" s="32"/>
      <x:c r="G129" s="32"/>
      <x:c r="H129" s="32"/>
    </x:row>
    <x:row r="130">
      <x:c r="A130" s="408" t="str">
        <x:v>МТК — льготное финансирование (не грант, не включено в base cash flow)</x:v>
      </x:c>
      <x:c r="B130" s="408"/>
      <x:c r="C130" s="408"/>
      <x:c r="D130" s="408"/>
      <x:c r="E130" s="408"/>
      <x:c r="F130" s="408"/>
      <x:c r="G130" s="408"/>
      <x:c r="H130" s="408"/>
    </x:row>
    <x:row r="131">
      <x:c r="A131" s="409" t="str">
        <x:v>Инструмент</x:v>
      </x:c>
      <x:c r="B131" s="409" t="str">
        <x:v>2026 условия</x:v>
      </x:c>
      <x:c r="C131" s="409" t="str">
        <x:v>Gate</x:v>
      </x:c>
      <x:c r="D131" s="409" t="str">
        <x:v>Назначение</x:v>
      </x:c>
      <x:c r="E131" s="409" t="str">
        <x:v>Источник</x:v>
      </x:c>
      <x:c r="F131" s="409" t="str">
        <x:v>В Cash Flow?</x:v>
      </x:c>
      <x:c r="G131" s="409" t="str">
        <x:v>Owner</x:v>
      </x:c>
      <x:c r="H131" s="409" t="str">
        <x:v>Комментарий</x:v>
      </x:c>
    </x:row>
    <x:row r="132">
      <x:c r="A132" s="32" t="str">
        <x:v>«Высокотех»</x:v>
      </x:c>
      <x:c r="B132" s="32" t="str">
        <x:v>Общий объем программы до 20 млрд ₽; ставка при ключевой &gt;10% = ключевая − 7 п.п.</x:v>
      </x:c>
      <x:c r="C132" s="32" t="str">
        <x:v>Статус МТК + критерии программы</x:v>
      </x:c>
      <x:c r="D132" s="32" t="str">
        <x:v>НИОКР / масштабирование / развитие</x:v>
      </x:c>
      <x:c r="E132" s="32" t="str">
        <x:v>https://corpmsp.ru/about/press/news/novosti-korporatsii/malye-tekhnologicheskie-kompanii-poluchat-do-20-mlrd-rubley-lgotnogo-finansirovaniya-v-2026-godu/</x:v>
      </x:c>
      <x:c r="F132" s="32" t="str">
        <x:v>Нет — только после одобрения кредита</x:v>
      </x:c>
      <x:c r="G132" s="32" t="str">
        <x:v>CEO/CFO</x:v>
      </x:c>
      <x:c r="H132" s="32" t="str">
        <x:v>Не трактовать как гарантированную субсидию или грант.</x:v>
      </x:c>
    </x:row>
    <x:row r="133">
      <x:c r="A133" s="32" t="str">
        <x:v>MTC effective month</x:v>
      </x:c>
      <x:c r="B133" s="32" t="n">
        <x:f>B115</x:f>
        <x:v>0</x:v>
      </x:c>
      <x:c r="C133" s="32" t="str">
        <x:v>Связан с status gate</x:v>
      </x:c>
      <x:c r="D133" s="32" t="str">
        <x:v>Доступ к MTC-only мерам</x:v>
      </x:c>
      <x:c r="E133" s="32"/>
      <x:c r="F133" s="32" t="str">
        <x:v>Нет</x:v>
      </x:c>
      <x:c r="G133" s="32" t="str">
        <x:v>CEO/CFO</x:v>
      </x:c>
      <x:c r="H133" s="32" t="str">
        <x:v>Подтягивается из B115.</x:v>
      </x:c>
    </x:row>
    <x:row r="134">
      <x:c r="A134" s="32" t="str">
        <x:v>Debt vs equity gate</x:v>
      </x:c>
      <x:c r="B134" s="32" t="str">
        <x:v>2028 roadmap</x:v>
      </x:c>
      <x:c r="C134" s="32" t="str">
        <x:v>После выручки + МТК</x:v>
      </x:c>
      <x:c r="D134" s="32" t="str">
        <x:v>Сравнить стоимость долга и нового equity</x:v>
      </x:c>
      <x:c r="E134" s="32"/>
      <x:c r="F134" s="32" t="str">
        <x:v>Нет</x:v>
      </x:c>
      <x:c r="G134" s="32" t="str">
        <x:v>CEO/CFO</x:v>
      </x:c>
      <x:c r="H134" s="32" t="str">
        <x:v>Отдельное решение, не автоматический источник финансирования.</x:v>
      </x:c>
    </x:row>
  </x:sheetData>
  <x:mergeCells>
    <x:mergeCell ref="A1:H1"/>
    <x:mergeCell ref="A3:H3"/>
    <x:mergeCell ref="A14:H14"/>
    <x:mergeCell ref="A23:H23"/>
    <x:mergeCell ref="A31:H31"/>
    <x:mergeCell ref="A39:H39"/>
    <x:mergeCell ref="A48:H48"/>
    <x:mergeCell ref="A56:H56"/>
    <x:mergeCell ref="A62:H62"/>
    <x:mergeCell ref="A79:H79"/>
    <x:mergeCell ref="A81:H81"/>
    <x:mergeCell ref="J81:AS81"/>
    <x:mergeCell ref="A92:H92"/>
    <x:mergeCell ref="A99:H99"/>
    <x:mergeCell ref="A106:H106"/>
    <x:mergeCell ref="A117:H117"/>
    <x:mergeCell ref="A123:H123"/>
    <x:mergeCell ref="A130:H130"/>
  </x:mergeCells>
  <x:dataValidations count="1">
    <x:dataValidation type="list" sqref="B82">
      <x:formula1>"УСН 6% → СПб IT 1% после gate,УСН 7% Д-Р → СПб IT 5% после gate,ОСНО 25% → IT 5% после gate,Сколково + УСН 6%,Сколково + ОСНО (освобождение прибыли)"</x:formula1>
    </x:dataValidation>
  </x:dataValidations>
  <x:pageMargins left="0.7" right="0.7" top="0.75" bottom="0.75" header="0.3" footer="0.3"/>
</x:worksheet>
</file>

<file path=xl/worksheets/sheet16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8" hidden="0" customWidth="1"/>
    <x:col min="3" max="3" width="42" hidden="0" customWidth="1"/>
    <x:col min="4" max="4" width="32" hidden="0" customWidth="1"/>
    <x:col min="5" max="5" width="18" hidden="0" customWidth="1"/>
    <x:col min="6" max="6" width="18" hidden="0" customWidth="1"/>
    <x:col min="7" max="7" width="24" hidden="0" customWidth="1"/>
    <x:col min="8" max="8" width="36" hidden="0" customWidth="1"/>
    <x:col min="10" max="10" width="24" hidden="0" customWidth="1"/>
    <x:col min="11" max="11" width="24" hidden="0" customWidth="1"/>
  </x:cols>
  <x:sheetData>
    <x:row r="1">
      <x:c r="A1" s="374" t="str">
        <x:v>QORSYS LEGAL / TAX / GRANT ROADMAP 2026–2028</x:v>
      </x:c>
      <x:c r="B1" s="374"/>
      <x:c r="C1" s="374"/>
      <x:c r="D1" s="374"/>
      <x:c r="E1" s="374"/>
      <x:c r="F1" s="374"/>
      <x:c r="G1" s="374"/>
      <x:c r="H1" s="374"/>
      <x:c r="J1" s="376" t="str">
        <x:v>Ключевые gates</x:v>
      </x:c>
      <x:c r="K1" s="376"/>
      <x:c r="L1" s="376"/>
      <x:c r="M1" s="376"/>
    </x:row>
    <x:row r="3">
      <x:c r="A3" s="375" t="str">
        <x:v>Месяц</x:v>
      </x:c>
      <x:c r="B3" s="375" t="str">
        <x:v>Контур</x:v>
      </x:c>
      <x:c r="C3" s="375" t="str">
        <x:v>Действие</x:v>
      </x:c>
      <x:c r="D3" s="375" t="str">
        <x:v>Результат / gate</x:v>
      </x:c>
      <x:c r="E3" s="375" t="str">
        <x:v>Owner</x:v>
      </x:c>
      <x:c r="F3" s="375" t="str">
        <x:v>Статус</x:v>
      </x:c>
      <x:c r="G3" s="375" t="str">
        <x:v>Зависимость</x:v>
      </x:c>
      <x:c r="H3" s="375" t="str">
        <x:v>Источник / примечание</x:v>
      </x:c>
      <x:c r="J3" s="363" t="str">
        <x:v>Gate</x:v>
      </x:c>
      <x:c r="K3" s="363" t="str">
        <x:v>Target</x:v>
      </x:c>
    </x:row>
    <x:row r="4">
      <x:c r="A4" s="370" t="str">
        <x:v>Окт 2026</x:v>
      </x:c>
      <x:c r="B4" s="32" t="str">
        <x:v>Corporate/Tax</x:v>
      </x:c>
      <x:c r="C4" s="32" t="str">
        <x:v>Финализировать регион регистрации: СПб как базовый; проверить фактический адрес/зарплатные условия</x:v>
      </x:c>
      <x:c r="D4" s="32" t="str">
        <x:v>Региональное решение до регистрации</x:v>
      </x:c>
      <x:c r="E4" s="32" t="str">
        <x:v>CEO + юрист</x:v>
      </x:c>
      <x:c r="F4" s="32" t="str">
        <x:v>Сейчас</x:v>
      </x:c>
      <x:c r="G4" s="32" t="str">
        <x:v>Нет</x:v>
      </x:c>
      <x:c r="H4" s="32" t="str">
        <x:v>https://www.nalog.gov.ru/rn78/taxation/taxes/usn/</x:v>
      </x:c>
      <x:c r="J4" t="str">
        <x:v>IT accreditation</x:v>
      </x:c>
      <x:c r="K4" t="str">
        <x:v>2027</x:v>
      </x:c>
    </x:row>
    <x:row r="5">
      <x:c r="A5" s="370" t="str">
        <x:v>Ноя 2026</x:v>
      </x:c>
      <x:c r="B5" s="32" t="str">
        <x:v>Corporate</x:v>
      </x:c>
      <x:c r="C5" s="32" t="str">
        <x:v>Зарегистрировать ООО; основной ОКВЭД 62.01; дополнительные IT/НИОКР</x:v>
      </x:c>
      <x:c r="D5" s="32" t="str">
        <x:v>Юрлицо готово</x:v>
      </x:c>
      <x:c r="E5" s="32" t="str">
        <x:v>Юрист</x:v>
      </x:c>
      <x:c r="F5" s="32" t="str">
        <x:v>План</x:v>
      </x:c>
      <x:c r="G5" s="32" t="str">
        <x:v>Регион</x:v>
      </x:c>
      <x:c r="H5" s="32" t="str"/>
      <x:c r="J5" t="str">
        <x:v>RU Software Register</x:v>
      </x:c>
      <x:c r="K5" t="str">
        <x:v>2027</x:v>
      </x:c>
    </x:row>
    <x:row r="6">
      <x:c r="A6" s="370" t="str">
        <x:v>Дек 2026</x:v>
      </x:c>
      <x:c r="B6" s="32" t="str">
        <x:v>IP/Contracts</x:v>
      </x:c>
      <x:c r="C6" s="32" t="str">
        <x:v>Передать существующий IP на ООО; договоры License/SaaS + Integration + Support + Performance</x:v>
      </x:c>
      <x:c r="D6" s="32" t="str">
        <x:v>Непрерывная цепочка IP и Revenue Codes</x:v>
      </x:c>
      <x:c r="E6" s="32" t="str">
        <x:v>Юрист + CTO</x:v>
      </x:c>
      <x:c r="F6" s="32" t="str">
        <x:v>План</x:v>
      </x:c>
      <x:c r="G6" s="32" t="str">
        <x:v>ООО</x:v>
      </x:c>
      <x:c r="H6" s="32" t="str"/>
      <x:c r="J6" t="str">
        <x:v>AI marker</x:v>
      </x:c>
      <x:c r="K6" t="str">
        <x:v>target</x:v>
      </x:c>
    </x:row>
    <x:row r="7">
      <x:c r="A7" s="370" t="str">
        <x:v>Янв 2027</x:v>
      </x:c>
      <x:c r="B7" s="32" t="str">
        <x:v>Product/Compliance</x:v>
      </x:c>
      <x:c r="C7" s="32" t="str">
        <x:v>Сайт, описание продукта, документация, IP register, third-party register</x:v>
      </x:c>
      <x:c r="D7" s="32" t="str">
        <x:v>Пакет доказательств IT-деятельности</x:v>
      </x:c>
      <x:c r="E7" s="32" t="str">
        <x:v>CTO + Product</x:v>
      </x:c>
      <x:c r="F7" s="32" t="str">
        <x:v>План</x:v>
      </x:c>
      <x:c r="G7" s="32" t="str">
        <x:v>ООО/IP</x:v>
      </x:c>
      <x:c r="H7" s="32" t="str"/>
      <x:c r="J7" t="str">
        <x:v>Skolkovo</x:v>
      </x:c>
      <x:c r="K7" t="str">
        <x:v>2027</x:v>
      </x:c>
    </x:row>
    <x:row r="8">
      <x:c r="A8" s="370" t="str">
        <x:v>Фев 2027</x:v>
      </x:c>
      <x:c r="B8" s="32" t="str">
        <x:v>IT</x:v>
      </x:c>
      <x:c r="C8" s="32" t="str">
        <x:v>Подготовить/подать IT-аккредитацию при выполнении критериев</x:v>
      </x:c>
      <x:c r="D8" s="32" t="str">
        <x:v>IT accreditation gate</x:v>
      </x:c>
      <x:c r="E8" s="32" t="str">
        <x:v>Юрист + бухгалтер</x:v>
      </x:c>
      <x:c r="F8" s="32" t="str">
        <x:v>План</x:v>
      </x:c>
      <x:c r="G8" s="32" t="str">
        <x:v>IT-выручка/сайт</x:v>
      </x:c>
      <x:c r="H8" s="32" t="str"/>
      <x:c r="J8" t="str">
        <x:v>MTC</x:v>
      </x:c>
      <x:c r="K8" t="str">
        <x:v>2028</x:v>
      </x:c>
    </x:row>
    <x:row r="9">
      <x:c r="A9" s="370" t="str">
        <x:v>Мар 2027</x:v>
      </x:c>
      <x:c r="B9" s="32" t="str">
        <x:v>IP/Tech</x:v>
      </x:c>
      <x:c r="C9" s="32" t="str">
        <x:v>Роспатент программы; SBOM; OSS/IP audit</x:v>
      </x:c>
      <x:c r="D9" s="32" t="str">
        <x:v>IP evidence + dependency control</x:v>
      </x:c>
      <x:c r="E9" s="32" t="str">
        <x:v>Юрист + CTO</x:v>
      </x:c>
      <x:c r="F9" s="32" t="str">
        <x:v>План</x:v>
      </x:c>
      <x:c r="G9" s="32" t="str">
        <x:v>IP chain</x:v>
      </x:c>
      <x:c r="H9" s="32" t="str">
        <x:v>https://rospatent.gov.ru/</x:v>
      </x:c>
      <x:c r="J9" t="str">
        <x:v>IT revenue share</x:v>
      </x:c>
      <x:c r="K9" t="str">
        <x:v>&gt;=80% internal target</x:v>
      </x:c>
    </x:row>
    <x:row r="10">
      <x:c r="A10" s="370" t="str">
        <x:v>Апр 2027</x:v>
      </x:c>
      <x:c r="B10" s="32" t="str">
        <x:v>RU Software</x:v>
      </x:c>
      <x:c r="C10" s="32" t="str">
        <x:v>Pre-audit требований Реестра ПО и класса QORSYS</x:v>
      </x:c>
      <x:c r="D10" s="32" t="str">
        <x:v>Gap-list Реестра ПО</x:v>
      </x:c>
      <x:c r="E10" s="32" t="str">
        <x:v>CTO + юрист</x:v>
      </x:c>
      <x:c r="F10" s="32" t="str">
        <x:v>План</x:v>
      </x:c>
      <x:c r="G10" s="32" t="str">
        <x:v>RU infrastructure</x:v>
      </x:c>
      <x:c r="H10" s="32" t="str">
        <x:v>https://reestr.digital.gov.ru/</x:v>
      </x:c>
    </x:row>
    <x:row r="11">
      <x:c r="A11" s="370" t="str">
        <x:v>Май 2027</x:v>
      </x:c>
      <x:c r="B11" s="32" t="str">
        <x:v>RU Software</x:v>
      </x:c>
      <x:c r="C11" s="32" t="str">
        <x:v>Подать QORSYS в Реестр российского ПО</x:v>
      </x:c>
      <x:c r="D11" s="32" t="str">
        <x:v>Application submitted</x:v>
      </x:c>
      <x:c r="E11" s="32" t="str">
        <x:v>CEO + CTO + юрист</x:v>
      </x:c>
      <x:c r="F11" s="32" t="str">
        <x:v>План</x:v>
      </x:c>
      <x:c r="G11" s="32" t="str">
        <x:v>Pre-audit</x:v>
      </x:c>
      <x:c r="H11" s="32" t="str">
        <x:v>https://reestr.digital.gov.ru/</x:v>
      </x:c>
    </x:row>
    <x:row r="12">
      <x:c r="A12" s="370" t="str">
        <x:v>Июн 2027</x:v>
      </x:c>
      <x:c r="B12" s="32" t="str">
        <x:v>RU Software</x:v>
      </x:c>
      <x:c r="C12" s="32" t="str">
        <x:v>Закрыть замечания экспертизы; документировать AI-функции</x:v>
      </x:c>
      <x:c r="D12" s="32" t="str">
        <x:v>Ready/registered product</x:v>
      </x:c>
      <x:c r="E12" s="32" t="str">
        <x:v>CTO + Product</x:v>
      </x:c>
      <x:c r="F12" s="32" t="str">
        <x:v>План</x:v>
      </x:c>
      <x:c r="G12" s="32" t="str">
        <x:v>Заявка</x:v>
      </x:c>
      <x:c r="H12" s="32" t="str"/>
    </x:row>
    <x:row r="13">
      <x:c r="A13" s="370" t="str">
        <x:v>Июл 2027</x:v>
      </x:c>
      <x:c r="B13" s="32" t="str">
        <x:v>Skolkovo</x:v>
      </x:c>
      <x:c r="C13" s="32" t="str">
        <x:v>Собрать заявку: technology, novelty, market, team, IP, commercialization</x:v>
      </x:c>
      <x:c r="D13" s="32" t="str">
        <x:v>Skolkovo application pack</x:v>
      </x:c>
      <x:c r="E13" s="32" t="str">
        <x:v>CEO + Product</x:v>
      </x:c>
      <x:c r="F13" s="32" t="str">
        <x:v>План</x:v>
      </x:c>
      <x:c r="G13" s="32" t="str">
        <x:v>Product evidence</x:v>
      </x:c>
      <x:c r="H13" s="32" t="str">
        <x:v>https://sk.ru/applicants-actions/</x:v>
      </x:c>
    </x:row>
    <x:row r="14">
      <x:c r="A14" s="370" t="str">
        <x:v>Авг 2027</x:v>
      </x:c>
      <x:c r="B14" s="32" t="str">
        <x:v>Grant/MTC</x:v>
      </x:c>
      <x:c r="C14" s="32" t="str">
        <x:v>Подготовить пакет ФСИ и маршрут МТК; мониторить открытые отборы</x:v>
      </x:c>
      <x:c r="D14" s="32" t="str">
        <x:v>Grant-ready / MTC-ready</x:v>
      </x:c>
      <x:c r="E14" s="32" t="str">
        <x:v>CEO + CFO + CTO</x:v>
      </x:c>
      <x:c r="F14" s="32" t="str">
        <x:v>План</x:v>
      </x:c>
      <x:c r="G14" s="32" t="str">
        <x:v>IT/IP</x:v>
      </x:c>
      <x:c r="H14" s="32" t="str">
        <x:v>https://fasie.ru/programs/programma-start/</x:v>
      </x:c>
    </x:row>
    <x:row r="15">
      <x:c r="A15" s="370" t="str">
        <x:v>Сен 2027</x:v>
      </x:c>
      <x:c r="B15" s="32" t="str">
        <x:v>Skolkovo</x:v>
      </x:c>
      <x:c r="C15" s="32" t="str">
        <x:v>Подать/довести заявку Сколково; после статуса проверить налоговые уведомления</x:v>
      </x:c>
      <x:c r="D15" s="32" t="str">
        <x:v>Skolkovo gate</x:v>
      </x:c>
      <x:c r="E15" s="32" t="str">
        <x:v>CEO + юрист</x:v>
      </x:c>
      <x:c r="F15" s="32" t="str">
        <x:v>План</x:v>
      </x:c>
      <x:c r="G15" s="32" t="str">
        <x:v>Application pack</x:v>
      </x:c>
      <x:c r="H15" s="32" t="str">
        <x:v>https://sk.ru/tax-facilities/</x:v>
      </x:c>
    </x:row>
    <x:row r="16">
      <x:c r="A16" s="370" t="str">
        <x:v>Окт 2027</x:v>
      </x:c>
      <x:c r="B16" s="32" t="str">
        <x:v>Grant</x:v>
      </x:c>
      <x:c r="C16" s="32" t="str">
        <x:v>Подать «Старт-ЦТ» при наличии подходящего открытого отбора</x:v>
      </x:c>
      <x:c r="D16" s="32" t="str">
        <x:v>Non-dilutive application</x:v>
      </x:c>
      <x:c r="E16" s="32" t="str">
        <x:v>Product + CTO</x:v>
      </x:c>
      <x:c r="F16" s="32" t="str">
        <x:v>Условно</x:v>
      </x:c>
      <x:c r="G16" s="32" t="str">
        <x:v>Открытый конкурс</x:v>
      </x:c>
      <x:c r="H16" s="32" t="str">
        <x:v>https://fasie.ru/programs/programma-start/</x:v>
      </x:c>
    </x:row>
    <x:row r="17">
      <x:c r="A17" s="370" t="str">
        <x:v>Ноя 2027</x:v>
      </x:c>
      <x:c r="B17" s="32" t="str">
        <x:v>Grant</x:v>
      </x:c>
      <x:c r="C17" s="32" t="str">
        <x:v>Для статуса «Стартап» — только доступная услуга по защите ИС; full microgrant pipeline не планировать до МТК</x:v>
      </x:c>
      <x:c r="D17" s="32" t="str">
        <x:v>IP-support only / no full microgrant assumption</x:v>
      </x:c>
      <x:c r="E17" s="32" t="str">
        <x:v>CEO + CFO</x:v>
      </x:c>
      <x:c r="F17" s="32" t="str">
        <x:v>Условно</x:v>
      </x:c>
      <x:c r="G17" s="32" t="str">
        <x:v>Статус Сколково</x:v>
      </x:c>
      <x:c r="H17" s="32" t="str">
        <x:v>https://services.sk.ru/service/1</x:v>
      </x:c>
    </x:row>
    <x:row r="18">
      <x:c r="A18" s="370" t="str">
        <x:v>Дек 2027</x:v>
      </x:c>
      <x:c r="B18" s="32" t="str">
        <x:v>Tax Gate</x:v>
      </x:c>
      <x:c r="C18" s="32" t="str">
        <x:v>Сравнить УСН 1%, УСН 5%, IT ОСНО, Сколково на факте; обновить финмодель</x:v>
      </x:c>
      <x:c r="D18" s="32" t="str">
        <x:v>TAX GATE 1</x:v>
      </x:c>
      <x:c r="E18" s="32" t="str">
        <x:v>CFO + налоговый юрист</x:v>
      </x:c>
      <x:c r="F18" s="32" t="str">
        <x:v>План</x:v>
      </x:c>
      <x:c r="G18" s="32" t="str">
        <x:v>Факт 2027</x:v>
      </x:c>
      <x:c r="H18" s="32" t="str"/>
    </x:row>
    <x:row r="19">
      <x:c r="A19" s="370" t="str">
        <x:v>Янв 2028</x:v>
      </x:c>
      <x:c r="B19" s="32" t="str">
        <x:v>Sales</x:v>
      </x:c>
      <x:c r="C19" s="32" t="str">
        <x:v>Enterprise pilots 1–2; формализовать baseline/эффект</x:v>
      </x:c>
      <x:c r="D19" s="32" t="str">
        <x:v>Pilot evidence</x:v>
      </x:c>
      <x:c r="E19" s="32" t="str">
        <x:v>Sales + Product</x:v>
      </x:c>
      <x:c r="F19" s="32" t="str">
        <x:v>План</x:v>
      </x:c>
      <x:c r="G19" s="32" t="str">
        <x:v>Product ready</x:v>
      </x:c>
      <x:c r="H19" s="32" t="str"/>
    </x:row>
    <x:row r="20">
      <x:c r="A20" s="370" t="str">
        <x:v>Фев 2028</x:v>
      </x:c>
      <x:c r="B20" s="32" t="str">
        <x:v>Sales</x:v>
      </x:c>
      <x:c r="C20" s="32" t="str">
        <x:v>Enterprise pilots 3–5; собрать case studies</x:v>
      </x:c>
      <x:c r="D20" s="32" t="str">
        <x:v>Commercial evidence</x:v>
      </x:c>
      <x:c r="E20" s="32" t="str">
        <x:v>Sales + Product</x:v>
      </x:c>
      <x:c r="F20" s="32" t="str">
        <x:v>План</x:v>
      </x:c>
      <x:c r="G20" s="32" t="str">
        <x:v>Pilots</x:v>
      </x:c>
      <x:c r="H20" s="32" t="str"/>
    </x:row>
    <x:row r="21">
      <x:c r="A21" s="370" t="str">
        <x:v>Мар 2028</x:v>
      </x:c>
      <x:c r="B21" s="32" t="str">
        <x:v>MTC</x:v>
      </x:c>
      <x:c r="C21" s="32" t="str">
        <x:v>Проверить соответствие и пакет на статус МТК</x:v>
      </x:c>
      <x:c r="D21" s="32" t="str">
        <x:v>MTC readiness</x:v>
      </x:c>
      <x:c r="E21" s="32" t="str">
        <x:v>CEO + CFO</x:v>
      </x:c>
      <x:c r="F21" s="32" t="str">
        <x:v>План</x:v>
      </x:c>
      <x:c r="G21" s="32" t="str">
        <x:v>Выручка/технологичность</x:v>
      </x:c>
      <x:c r="H21" s="32" t="str"/>
    </x:row>
    <x:row r="22">
      <x:c r="A22" s="370" t="str">
        <x:v>Апр 2028</x:v>
      </x:c>
      <x:c r="B22" s="32" t="str">
        <x:v>MTC</x:v>
      </x:c>
      <x:c r="C22" s="32" t="str">
        <x:v>Подать на МТК при выполнении критериев</x:v>
      </x:c>
      <x:c r="D22" s="32" t="str">
        <x:v>MTC application</x:v>
      </x:c>
      <x:c r="E22" s="32" t="str">
        <x:v>CEO + CFO</x:v>
      </x:c>
      <x:c r="F22" s="32" t="str">
        <x:v>Условно</x:v>
      </x:c>
      <x:c r="G22" s="32" t="str">
        <x:v>Readiness</x:v>
      </x:c>
      <x:c r="H22" s="32" t="str"/>
    </x:row>
    <x:row r="23">
      <x:c r="A23" s="370" t="str">
        <x:v>Май 2028</x:v>
      </x:c>
      <x:c r="B23" s="32" t="str">
        <x:v>Grant/MTC</x:v>
      </x:c>
      <x:c r="C23" s="32" t="str">
        <x:v>После получения МТК открыть full microgrant pipeline Сколково; параллельно готовить «Коммерциализацию»</x:v>
      </x:c>
      <x:c r="D23" s="32" t="str">
        <x:v>MTC-gated grant pipeline</x:v>
      </x:c>
      <x:c r="E23" s="32" t="str">
        <x:v>CEO + CFO</x:v>
      </x:c>
      <x:c r="F23" s="32" t="str">
        <x:v>Условно</x:v>
      </x:c>
      <x:c r="G23" s="32" t="str">
        <x:v>Статус МТК + Сколково</x:v>
      </x:c>
      <x:c r="H23" s="32" t="str">
        <x:v>https://services.sk.ru/service/1</x:v>
      </x:c>
    </x:row>
    <x:row r="24">
      <x:c r="A24" s="370" t="str">
        <x:v>Июн 2028</x:v>
      </x:c>
      <x:c r="B24" s="32" t="str">
        <x:v>Product</x:v>
      </x:c>
      <x:c r="C24" s="32" t="str">
        <x:v>Отраслевые версии/коннекторы; evidence для enterprise</x:v>
      </x:c>
      <x:c r="D24" s="32" t="str">
        <x:v>Sector package</x:v>
      </x:c>
      <x:c r="E24" s="32" t="str">
        <x:v>CTO + Product</x:v>
      </x:c>
      <x:c r="F24" s="32" t="str">
        <x:v>План</x:v>
      </x:c>
      <x:c r="G24" s="32" t="str">
        <x:v>Pilots</x:v>
      </x:c>
      <x:c r="H24" s="32" t="str"/>
    </x:row>
    <x:row r="25">
      <x:c r="A25" s="370" t="str">
        <x:v>Июл 2028</x:v>
      </x:c>
      <x:c r="B25" s="32" t="str">
        <x:v>Enterprise</x:v>
      </x:c>
      <x:c r="C25" s="32" t="str">
        <x:v>Выбрать крупного заказчика для совместного финансируемого внедрения</x:v>
      </x:c>
      <x:c r="D25" s="32" t="str">
        <x:v>Anchor customer</x:v>
      </x:c>
      <x:c r="E25" s="32" t="str">
        <x:v>Sales</x:v>
      </x:c>
      <x:c r="F25" s="32" t="str">
        <x:v>План</x:v>
      </x:c>
      <x:c r="G25" s="32" t="str">
        <x:v>Case studies</x:v>
      </x:c>
      <x:c r="H25" s="32" t="str"/>
    </x:row>
    <x:row r="26">
      <x:c r="A26" s="370" t="str">
        <x:v>Авг 2028</x:v>
      </x:c>
      <x:c r="B26" s="32" t="str">
        <x:v>RFРИТ</x:v>
      </x:c>
      <x:c r="C26" s="32" t="str">
        <x:v>Подготовить структуру ОЗП/РФРИТ при актуальном отборе</x:v>
      </x:c>
      <x:c r="D26" s="32" t="str">
        <x:v>Grant-financed sales case</x:v>
      </x:c>
      <x:c r="E26" s="32" t="str">
        <x:v>Sales + CFO</x:v>
      </x:c>
      <x:c r="F26" s="32" t="str">
        <x:v>Условно</x:v>
      </x:c>
      <x:c r="G26" s="32" t="str">
        <x:v>Anchor customer</x:v>
      </x:c>
      <x:c r="H26" s="32" t="str">
        <x:v>https://rfrit.ru/</x:v>
      </x:c>
    </x:row>
    <x:row r="27">
      <x:c r="A27" s="370" t="str">
        <x:v>Сен 2028</x:v>
      </x:c>
      <x:c r="B27" s="32" t="str">
        <x:v>RFРИТ</x:v>
      </x:c>
      <x:c r="C27" s="32" t="str">
        <x:v>Подать совместный проект при соответствии условиям текущего отбора</x:v>
      </x:c>
      <x:c r="D27" s="32" t="str">
        <x:v>Enterprise funding application</x:v>
      </x:c>
      <x:c r="E27" s="32" t="str">
        <x:v>Client + QORSYS</x:v>
      </x:c>
      <x:c r="F27" s="32" t="str">
        <x:v>Условно</x:v>
      </x:c>
      <x:c r="G27" s="32" t="str">
        <x:v>Open call</x:v>
      </x:c>
      <x:c r="H27" s="32" t="str">
        <x:v>https://rfrit.ru/</x:v>
      </x:c>
    </x:row>
    <x:row r="28">
      <x:c r="A28" s="370" t="str">
        <x:v>Окт 2028</x:v>
      </x:c>
      <x:c r="B28" s="32" t="str">
        <x:v>Scale</x:v>
      </x:c>
      <x:c r="C28" s="32" t="str">
        <x:v>Оценить льготный debt / МТК инструменты вместо нового equity</x:v>
      </x:c>
      <x:c r="D28" s="32" t="str">
        <x:v>Debt vs equity decision</x:v>
      </x:c>
      <x:c r="E28" s="32" t="str">
        <x:v>CEO + CFO</x:v>
      </x:c>
      <x:c r="F28" s="32" t="str">
        <x:v>План</x:v>
      </x:c>
      <x:c r="G28" s="32" t="str">
        <x:v>MTC/выручка</x:v>
      </x:c>
      <x:c r="H28" s="32" t="str"/>
    </x:row>
    <x:row r="29">
      <x:c r="A29" s="370" t="str">
        <x:v>Ноя 2028</x:v>
      </x:c>
      <x:c r="B29" s="32" t="str">
        <x:v>Grant</x:v>
      </x:c>
      <x:c r="C29" s="32" t="str">
        <x:v>«Коммерциализация» / аналогичный инструмент при действующем отборе</x:v>
      </x:c>
      <x:c r="D29" s="32" t="str">
        <x:v>Scale grant application</x:v>
      </x:c>
      <x:c r="E29" s="32" t="str">
        <x:v>CEO + CFO</x:v>
      </x:c>
      <x:c r="F29" s="32" t="str">
        <x:v>Условно</x:v>
      </x:c>
      <x:c r="G29" s="32" t="str">
        <x:v>Продажи + софинансирование</x:v>
      </x:c>
      <x:c r="H29" s="32" t="str">
        <x:v>https://fasie.ru/programs/programma-kommertsializatsiya/</x:v>
      </x:c>
    </x:row>
    <x:row r="30">
      <x:c r="A30" s="370" t="str">
        <x:v>Дек 2028</x:v>
      </x:c>
      <x:c r="B30" s="32" t="str">
        <x:v>Tax Gate</x:v>
      </x:c>
      <x:c r="C30" s="32" t="str">
        <x:v>Финальный пересчет режима 2029–2030: налоги, НДС, ФОТ, grants, debt</x:v>
      </x:c>
      <x:c r="D30" s="32" t="str">
        <x:v>TAX GATE 2 / план 2029</x:v>
      </x:c>
      <x:c r="E30" s="32" t="str">
        <x:v>CFO + юрист</x:v>
      </x:c>
      <x:c r="F30" s="32" t="str">
        <x:v>План</x:v>
      </x:c>
      <x:c r="G30" s="32" t="str">
        <x:v>Факт 2028</x:v>
      </x:c>
      <x:c r="H30" s="32" t="str"/>
    </x:row>
  </x:sheetData>
  <x:mergeCells>
    <x:mergeCell ref="A1:H1"/>
    <x:mergeCell ref="J1:M1"/>
  </x:mergeCells>
  <x:dataValidations count="1">
    <x:dataValidation type="list" sqref="F4:F30">
      <x:formula1>"Сейчас,План,Условно,Готово"</x:formula1>
    </x:dataValidation>
  </x:dataValidations>
  <x:pageMargins left="0.7" right="0.7" top="0.75" bottom="0.75" header="0.3" footer="0.3"/>
</x:worksheet>
</file>

<file path=xl/worksheets/sheet17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24" hidden="0" customWidth="1"/>
    <x:col min="3" max="3" width="40" hidden="0" customWidth="1"/>
    <x:col min="4" max="4" width="23" hidden="0" customWidth="1"/>
    <x:col min="5" max="5" width="42" hidden="0" customWidth="1"/>
    <x:col min="6" max="6" width="18" hidden="0" customWidth="1"/>
    <x:col min="7" max="7" width="20" hidden="0" customWidth="1"/>
    <x:col min="8" max="8" width="42" hidden="0" customWidth="1"/>
    <x:col min="9" max="9" width="36" hidden="0" customWidth="1"/>
    <x:col min="10" max="10" width="28" hidden="0" customWidth="1"/>
  </x:cols>
  <x:sheetData>
    <x:row r="1">
      <x:c r="A1" s="387" t="str">
        <x:v>QORSYS — CONTRACT / НДС LEGAL MATRIX</x:v>
      </x:c>
      <x:c r="B1" s="387"/>
      <x:c r="C1" s="387"/>
      <x:c r="D1" s="387"/>
      <x:c r="E1" s="387"/>
      <x:c r="F1" s="387"/>
      <x:c r="G1" s="387"/>
      <x:c r="H1" s="387"/>
      <x:c r="I1" s="387"/>
      <x:c r="J1" s="387"/>
    </x:row>
    <x:row r="3">
      <x:c r="A3" s="390" t="str">
        <x:v>Revenue Code</x:v>
      </x:c>
      <x:c r="B3" s="390" t="str">
        <x:v>Поток выручки</x:v>
      </x:c>
      <x:c r="C3" s="390" t="str">
        <x:v>Рекомендуемый предмет договора</x:v>
      </x:c>
      <x:c r="D3" s="390" t="str">
        <x:v>НДС после Реестра ПО</x:v>
      </x:c>
      <x:c r="E3" s="390" t="str">
        <x:v>Условие льготы</x:v>
      </x:c>
      <x:c r="F3" s="390" t="str">
        <x:v>Риск</x:v>
      </x:c>
      <x:c r="G3" s="390" t="str">
        <x:v>IT 70%</x:v>
      </x:c>
      <x:c r="H3" s="390" t="str">
        <x:v>Что делать в документах</x:v>
      </x:c>
      <x:c r="I3" s="390" t="str">
        <x:v>Источник</x:v>
      </x:c>
      <x:c r="J3" s="390" t="str">
        <x:v>Комментарий QORSYS</x:v>
      </x:c>
    </x:row>
    <x:row r="4">
      <x:c r="A4" s="32" t="str">
        <x:v>Q-LIC</x:v>
      </x:c>
      <x:c r="B4" s="32" t="str">
        <x:v>Лицензия QORSYS / право использования</x:v>
      </x:c>
      <x:c r="C4" s="32" t="str">
        <x:v>Простая неисключительная лицензия на QORSYS</x:v>
      </x:c>
      <x:c r="D4" s="32" t="str">
        <x:v>Освобождение</x:v>
      </x:c>
      <x:c r="E4" s="32" t="str">
        <x:v>QORSYS включен в Реестр российского ПО; передаются права использования</x:v>
      </x:c>
      <x:c r="F4" s="32" t="str">
        <x:v>Низкий</x:v>
      </x:c>
      <x:c r="G4" s="32" t="str">
        <x:v>Да</x:v>
      </x:c>
      <x:c r="H4" s="32" t="str">
        <x:v>Определить способы использования, срок, территорию, вознаграждение</x:v>
      </x:c>
      <x:c r="I4" s="32" t="str">
        <x:v>https://www.consultant.ru/document/cons_doc_LAW_28165/c8ebcedc9ddce9d959d6c520c3b0d602f71e8e12/</x:v>
      </x:c>
      <x:c r="J4" s="32" t="str">
        <x:v>Базовый поток</x:v>
      </x:c>
    </x:row>
    <x:row r="5">
      <x:c r="A5" s="32" t="str">
        <x:v>Q-SAAS</x:v>
      </x:c>
      <x:c r="B5" s="32" t="str">
        <x:v>Удаленный доступ / SaaS</x:v>
      </x:c>
      <x:c r="C5" s="32" t="str">
        <x:v>Удаленный доступ к QORSYS как способ реализации права использования</x:v>
      </x:c>
      <x:c r="D5" s="32" t="str">
        <x:v>Освобождение</x:v>
      </x:c>
      <x:c r="E5" s="32" t="str">
        <x:v>ПО в Реестре; доступ относится к использованию ПО</x:v>
      </x:c>
      <x:c r="F5" s="32" t="str">
        <x:v>Низкий</x:v>
      </x:c>
      <x:c r="G5" s="32" t="str">
        <x:v>Да</x:v>
      </x:c>
      <x:c r="H5" s="32" t="str">
        <x:v>Связать доступ с правом использования реестрового ПО</x:v>
      </x:c>
      <x:c r="I5" s="32" t="str">
        <x:v>https://www.consultant.ru/document/cons_doc_LAW_28165/c8ebcedc9ddce9d959d6c520c3b0d602f71e8e12/</x:v>
      </x:c>
      <x:c r="J5" s="32" t="str">
        <x:v>Recurring revenue</x:v>
      </x:c>
    </x:row>
    <x:row r="6">
      <x:c r="A6" s="32" t="str">
        <x:v>Q-MOD</x:v>
      </x:c>
      <x:c r="B6" s="32" t="str">
        <x:v>Доработка / адаптация / новые функции</x:v>
      </x:c>
      <x:c r="C6" s="32" t="str">
        <x:v>Дополнительная функциональность QORSYS в рамках лицензии/допсоглашения</x:v>
      </x:c>
      <x:c r="D6" s="32" t="str">
        <x:v>Потенциально освобождение</x:v>
      </x:c>
      <x:c r="E6" s="32" t="str">
        <x:v>Доработка выполняется в рамках передачи прав и расширяет функциональность ПО</x:v>
      </x:c>
      <x:c r="F6" s="32" t="str">
        <x:v>Средний</x:v>
      </x:c>
      <x:c r="G6" s="32" t="str">
        <x:v>Да</x:v>
      </x:c>
      <x:c r="H6" s="32" t="str">
        <x:v>Описывать новую функциональность и право клиента ее использовать</x:v>
      </x:c>
      <x:c r="I6" s="32" t="str">
        <x:v>https://www.consultant.ru/law/review/consult/qa2026-07-16.html</x:v>
      </x:c>
      <x:c r="J6" s="32" t="str">
        <x:v>Минфин 06.05.2026 №03-07-07/37960</x:v>
      </x:c>
    </x:row>
    <x:row r="7">
      <x:c r="A7" s="32" t="str">
        <x:v>Q-INTEGRATION</x:v>
      </x:c>
      <x:c r="B7" s="32" t="str">
        <x:v>Интеграция с системами клиента</x:v>
      </x:c>
      <x:c r="C7" s="32" t="str">
        <x:v>Подключение/настройка коннекторов и интеграция</x:v>
      </x:c>
      <x:c r="D7" s="32" t="str">
        <x:v>Зависит от содержания</x:v>
      </x:c>
      <x:c r="E7" s="32" t="str">
        <x:v>Льгота надежнее только в части, являющейся обновлением/допфункциональностью QORSYS</x:v>
      </x:c>
      <x:c r="F7" s="32" t="str">
        <x:v>Высокий</x:v>
      </x:c>
      <x:c r="G7" s="32" t="str">
        <x:v>Проверить</x:v>
      </x:c>
      <x:c r="H7" s="32" t="str">
        <x:v>Разделить functional development и самостоятельные инфраструктурные работы</x:v>
      </x:c>
      <x:c r="I7" s="32" t="str">
        <x:v>https://www.consultant.ru/law/review/consult/qa2026-07-16.html</x:v>
      </x:c>
      <x:c r="J7" s="32" t="str">
        <x:v>Нужна разметка SOW</x:v>
      </x:c>
    </x:row>
    <x:row r="8">
      <x:c r="A8" s="32" t="str">
        <x:v>Q-SUPPORT</x:v>
      </x:c>
      <x:c r="B8" s="32" t="str">
        <x:v>Техническая поддержка</x:v>
      </x:c>
      <x:c r="C8" s="32" t="str">
        <x:v>Поддержка, исправление сбоев, helpdesk</x:v>
      </x:c>
      <x:c r="D8" s="32" t="str">
        <x:v>Обычно облагается отдельно</x:v>
      </x:c>
      <x:c r="E8" s="32" t="str">
        <x:v>Если support включен в стоимость прав и его невозможно выделить отдельно — позиция лучше</x:v>
      </x:c>
      <x:c r="F8" s="32" t="str">
        <x:v>Средний/высокий</x:v>
      </x:c>
      <x:c r="G8" s="32" t="str">
        <x:v>Проверить</x:v>
      </x:c>
      <x:c r="H8" s="32" t="str">
        <x:v>Базовый support можно включить в лицензию; premium support выделять отдельно</x:v>
      </x:c>
      <x:c r="I8" s="32" t="str">
        <x:v>https://www.consultant.ru/law/podborki/tehnicheskaya_podderzhka_programmnogo_obespecheniya_nds/</x:v>
      </x:c>
      <x:c r="J8" s="32" t="str">
        <x:v>Минфин 03.08.2023 №03-07-07/72795</x:v>
      </x:c>
    </x:row>
    <x:row r="9">
      <x:c r="A9" s="32" t="str">
        <x:v>Q-SUCCESS</x:v>
      </x:c>
      <x:c r="B9" s="32" t="str">
        <x:v>Переменное вознаграждение за эффект</x:v>
      </x:c>
      <x:c r="C9" s="32" t="str">
        <x:v>Переменная часть продуктового/лицензионного вознаграждения</x:v>
      </x:c>
      <x:c r="D9" s="32" t="str">
        <x:v>Не подтверждено</x:v>
      </x:c>
      <x:c r="E9" s="32" t="str">
        <x:v>Нужна реальная связь с правом использования/функциональностью; иначе риск консалтинга</x:v>
      </x:c>
      <x:c r="F9" s="32" t="str">
        <x:v>Высокий</x:v>
      </x:c>
      <x:c r="G9" s="32" t="str">
        <x:v>Legal opinion</x:v>
      </x:c>
      <x:c r="H9" s="32" t="str">
        <x:v>Отдельный tax memo; до заключения не считать exempt</x:v>
      </x:c>
      <x:c r="I9" s="32" t="str"/>
      <x:c r="J9" s="32" t="str">
        <x:v>Ключевой открытый вопрос</x:v>
      </x:c>
    </x:row>
    <x:row r="10">
      <x:c r="A10" s="32" t="str">
        <x:v>Q-CONSULT</x:v>
      </x:c>
      <x:c r="B10" s="32" t="str">
        <x:v>Самостоятельный бизнес-консалтинг</x:v>
      </x:c>
      <x:c r="C10" s="32" t="str">
        <x:v>Управленческий/финансовый консалтинг вне ПО</x:v>
      </x:c>
      <x:c r="D10" s="32" t="str">
        <x:v>Облагается</x:v>
      </x:c>
      <x:c r="E10" s="32" t="str">
        <x:v>Не является передачей прав на ПО</x:v>
      </x:c>
      <x:c r="F10" s="32" t="str">
        <x:v>Низкий</x:v>
      </x:c>
      <x:c r="G10" s="32" t="str">
        <x:v>Нет</x:v>
      </x:c>
      <x:c r="H10" s="32" t="str">
        <x:v>Отдельный revenue code; минимизировать долю</x:v>
      </x:c>
      <x:c r="I10" s="32" t="str"/>
      <x:c r="J10" s="32" t="str">
        <x:v>Красная зона для 70%</x:v>
      </x:c>
    </x:row>
    <x:row r="11">
      <x:c r="A11" s="32" t="str">
        <x:v>Q-TRAIN</x:v>
      </x:c>
      <x:c r="B11" s="32" t="str">
        <x:v>Обучение пользователей</x:v>
      </x:c>
      <x:c r="C11" s="32" t="str">
        <x:v>Отдельная услуга обучения</x:v>
      </x:c>
      <x:c r="D11" s="32" t="str">
        <x:v>Обычно облагается</x:v>
      </x:c>
      <x:c r="E11" s="32" t="str">
        <x:v>Само по себе не является передачей прав на ПО</x:v>
      </x:c>
      <x:c r="F11" s="32" t="str">
        <x:v>Средний</x:v>
      </x:c>
      <x:c r="G11" s="32" t="str">
        <x:v>Проверить</x:v>
      </x:c>
      <x:c r="H11" s="32" t="str">
        <x:v>Если onboarding включен в лицензию — проверить отдельно</x:v>
      </x:c>
      <x:c r="I11" s="32" t="str"/>
      <x:c r="J11" s="32" t="str">
        <x:v>Не считать автоматически exempt</x:v>
      </x:c>
    </x:row>
    <x:row r="12">
      <x:c r="A12" s="32" t="str">
        <x:v>Q-MODULE</x:v>
      </x:c>
      <x:c r="B12" s="32" t="str">
        <x:v>Платные модули QORSYS</x:v>
      </x:c>
      <x:c r="C12" s="32" t="str">
        <x:v>Право использования дополнительного программного модуля/функциональности</x:v>
      </x:c>
      <x:c r="D12" s="32" t="str">
        <x:v>Освобождение при условиях</x:v>
      </x:c>
      <x:c r="E12" s="32" t="str">
        <x:v>Модуль входит в реестровое ПО либо является дополнительной функциональностью</x:v>
      </x:c>
      <x:c r="F12" s="32" t="str">
        <x:v>Низкий/средний</x:v>
      </x:c>
      <x:c r="G12" s="32" t="str">
        <x:v>Да</x:v>
      </x:c>
      <x:c r="H12" s="32" t="str">
        <x:v>Версионировать продукт и связь с реестровой версией</x:v>
      </x:c>
      <x:c r="I12" s="32" t="str">
        <x:v>https://www.consultant.ru/document/cons_doc_LAW_28165/c8ebcedc9ddce9d959d6c520c3b0d602f71e8e12/</x:v>
      </x:c>
      <x:c r="J12" s="32" t="str">
        <x:v>Второй слой монетизации</x:v>
      </x:c>
    </x:row>
    <x:row r="16">
      <x:c r="A16" s="389" t="str">
        <x:v>Модельная классификация выручки и НДС exposure</x:v>
      </x:c>
      <x:c r="B16" s="389"/>
      <x:c r="C16" s="389"/>
      <x:c r="D16" s="389"/>
      <x:c r="E16" s="389"/>
      <x:c r="F16" s="389"/>
      <x:c r="G16" s="389"/>
      <x:c r="H16" s="389"/>
    </x:row>
    <x:row r="18">
      <x:c r="A18" s="392" t="str">
        <x:v>Показатель</x:v>
      </x:c>
      <x:c r="B18" s="392" t="str">
        <x:v>Год 1</x:v>
      </x:c>
      <x:c r="C18" s="392" t="str">
        <x:v>Год 2</x:v>
      </x:c>
      <x:c r="D18" s="392" t="str">
        <x:v>Год 3</x:v>
      </x:c>
      <x:c r="E18" s="392" t="str">
        <x:v>Статус</x:v>
      </x:c>
      <x:c r="F18" s="392" t="str">
        <x:v>Логика</x:v>
      </x:c>
      <x:c r="G18" s="392" t="str">
        <x:v>Источник</x:v>
      </x:c>
      <x:c r="H18" s="392" t="str">
        <x:v>Редактируемо?</x:v>
      </x:c>
    </x:row>
    <x:row r="19">
      <x:c r="A19" t="str">
        <x:v>Выручка всего, ₽</x:v>
      </x:c>
      <x:c r="B19" t="n">
        <x:f>'Налоги и господдержка'!B26</x:f>
        <x:v>66665934.03317751</x:v>
      </x:c>
      <x:c r="C19" t="n">
        <x:f>'Налоги и господдержка'!C26</x:f>
        <x:v>161140839.27694833</x:v>
      </x:c>
      <x:c r="D19" t="n">
        <x:f>'Налоги и господдержка'!D26</x:f>
        <x:v>307258157.9225837</x:v>
      </x:c>
      <x:c r="E19" t="str">
        <x:v>Link</x:v>
      </x:c>
      <x:c r="F19" t="str">
        <x:v>Из текущей модели</x:v>
      </x:c>
      <x:c r="G19" t="str"/>
      <x:c r="H19" t="str">
        <x:v>Нет</x:v>
      </x:c>
    </x:row>
    <x:row r="20">
      <x:c r="A20" t="str">
        <x:v>Лицензии / SaaS, ₽</x:v>
      </x:c>
      <x:c r="B20" t="n">
        <x:f>'Налоги и господдержка'!B27</x:f>
        <x:v>25415934.0331775</x:v>
      </x:c>
      <x:c r="C20" t="n">
        <x:f>'Налоги и господдержка'!C27</x:f>
        <x:v>101740839.27694832</x:v>
      </x:c>
      <x:c r="D20" t="n">
        <x:f>'Налоги и господдержка'!D27</x:f>
        <x:v>208258157.92258364</x:v>
      </x:c>
      <x:c r="E20" t="str">
        <x:v>Link</x:v>
      </x:c>
      <x:c r="F20" t="str">
        <x:v>Q-LIC / Q-SAAS</x:v>
      </x:c>
      <x:c r="G20" t="str">
        <x:v>ст.149 п.2 пп.26</x:v>
      </x:c>
      <x:c r="H20" t="str">
        <x:v>Нет</x:v>
      </x:c>
    </x:row>
    <x:row r="21">
      <x:c r="A21" t="str">
        <x:v>Оптимизации / внедрение, ₽</x:v>
      </x:c>
      <x:c r="B21" t="n">
        <x:f>'Налоги и господдержка'!B28</x:f>
        <x:v>41250000.000000015</x:v>
      </x:c>
      <x:c r="C21" t="n">
        <x:f>'Налоги и господдержка'!C28</x:f>
        <x:v>59400000.000000015</x:v>
      </x:c>
      <x:c r="D21" t="n">
        <x:f>'Налоги и господдержка'!D28</x:f>
        <x:v>99000000.00000006</x:v>
      </x:c>
      <x:c r="E21" t="str">
        <x:v>Link</x:v>
      </x:c>
      <x:c r="F21" t="str">
        <x:v>Сейчас модель объединяет доработку и внедрение</x:v>
      </x:c>
      <x:c r="G21" t="str">
        <x:v>Минфин 06.05.2026 №03-07-07/37960</x:v>
      </x:c>
      <x:c r="H21" t="str">
        <x:v>Нет</x:v>
      </x:c>
    </x:row>
    <x:row r="22">
      <x:c r="A22" t="str">
        <x:v>Модули, ₽</x:v>
      </x:c>
      <x:c r="B22" t="n">
        <x:f>SUM('Прибыли и убытки'!B8:M8)</x:f>
        <x:v>0</x:v>
      </x:c>
      <x:c r="C22" t="n">
        <x:f>SUM('Прибыли и убытки'!N8:Y8)</x:f>
        <x:v>0</x:v>
      </x:c>
      <x:c r="D22" t="n">
        <x:f>SUM('Прибыли и убытки'!Z8:AK8)</x:f>
        <x:v>0</x:v>
      </x:c>
      <x:c r="E22" t="str">
        <x:v>Link</x:v>
      </x:c>
      <x:c r="F22" t="str">
        <x:v>Q-MODULE</x:v>
      </x:c>
      <x:c r="G22" t="str">
        <x:v>ст.149 п.2 пп.26</x:v>
      </x:c>
      <x:c r="H22" t="str">
        <x:v>Нет</x:v>
      </x:c>
    </x:row>
    <x:row r="23">
      <x:c r="A23" t="str">
        <x:v>Performance Fee, ₽</x:v>
      </x:c>
      <x:c r="B23" t="n">
        <x:f>SUM('Прибыли и убытки'!B7:M7)</x:f>
        <x:v>0</x:v>
      </x:c>
      <x:c r="C23" t="n">
        <x:f>SUM('Прибыли и убытки'!N7:Y7)</x:f>
        <x:v>0</x:v>
      </x:c>
      <x:c r="D23" t="n">
        <x:f>SUM('Прибыли и убытки'!Z7:AK7)</x:f>
        <x:v>0</x:v>
      </x:c>
      <x:c r="E23" t="str">
        <x:v>Link</x:v>
      </x:c>
      <x:c r="F23" t="str">
        <x:v>Q-SUCCESS</x:v>
      </x:c>
      <x:c r="G23" t="str">
        <x:v>Нужен legal opinion</x:v>
      </x:c>
      <x:c r="H23" t="str">
        <x:v>Нет</x:v>
      </x:c>
    </x:row>
    <x:row r="24">
      <x:c r="A24" t="str">
        <x:v>Доля Q-MOD внутри оптимизаций</x:v>
      </x:c>
      <x:c r="B24" s="394" t="n">
        <x:v>0.8</x:v>
      </x:c>
      <x:c r="C24" s="394" t="n">
        <x:v>0.85</x:v>
      </x:c>
      <x:c r="D24" s="394" t="n">
        <x:v>0.9</x:v>
      </x:c>
      <x:c r="E24" t="str">
        <x:v>INPUT</x:v>
      </x:c>
      <x:c r="F24" t="str">
        <x:v>Часть оптимизаций, оформляемая как обновление/допфункциональность</x:v>
      </x:c>
      <x:c r="G24" t="str">
        <x:v>Минфин 06.05.2026 №03-07-07/37960</x:v>
      </x:c>
      <x:c r="H24" t="str">
        <x:v>Да</x:v>
      </x:c>
    </x:row>
    <x:row r="25">
      <x:c r="A25" t="str">
        <x:v>Доля standalone integration/consult</x:v>
      </x:c>
      <x:c r="B25" s="36" t="n">
        <x:f>1-B24</x:f>
        <x:v>0.19999999999999996</x:v>
      </x:c>
      <x:c r="C25" s="36" t="n">
        <x:f>1-C24</x:f>
        <x:v>0.15000000000000002</x:v>
      </x:c>
      <x:c r="D25" s="36" t="n">
        <x:f>1-D24</x:f>
        <x:v>0.09999999999999998</x:v>
      </x:c>
      <x:c r="E25" t="str">
        <x:v>Formula</x:v>
      </x:c>
      <x:c r="F25" t="str">
        <x:v>Остаток оптимизаций, потенциально облагаемый НДС</x:v>
      </x:c>
      <x:c r="G25" t="str"/>
      <x:c r="H25" t="str">
        <x:v>Нет</x:v>
      </x:c>
    </x:row>
    <x:row r="26">
      <x:c r="A26" t="str">
        <x:v>Отдельная support-выручка в текущей модели</x:v>
      </x:c>
      <x:c r="B26" s="407" t="n">
        <x:v>0</x:v>
      </x:c>
      <x:c r="C26" s="407" t="n">
        <x:v>0</x:v>
      </x:c>
      <x:c r="D26" s="407" t="n">
        <x:v>0</x:v>
      </x:c>
      <x:c r="E26" t="str">
        <x:v>N/A</x:v>
      </x:c>
      <x:c r="F26" t="str">
        <x:v>Отдельной строки дохода Q-SUPPORT сейчас нет; при появлении добавить отдельный revenue stream</x:v>
      </x:c>
      <x:c r="G26" t="str">
        <x:v>Минфин 03.08.2023 №03-07-07/72795</x:v>
      </x:c>
      <x:c r="H26" t="str">
        <x:v>Нет</x:v>
      </x:c>
    </x:row>
    <x:row r="27">
      <x:c r="A27" t="str">
        <x:v>Доля Performance Fee, подтвержденная как exempt</x:v>
      </x:c>
      <x:c r="B27" s="394" t="n">
        <x:v>0</x:v>
      </x:c>
      <x:c r="C27" s="394" t="n">
        <x:v>0</x:v>
      </x:c>
      <x:c r="D27" s="394" t="n">
        <x:v>0</x:v>
      </x:c>
      <x:c r="E27" t="str">
        <x:v>INPUT</x:v>
      </x:c>
      <x:c r="F27" t="str">
        <x:v>До tax memo оставляем 0%</x:v>
      </x:c>
      <x:c r="G27" t="str"/>
      <x:c r="H27" t="str">
        <x:v>Да</x:v>
      </x:c>
    </x:row>
    <x:row r="29">
      <x:c r="A29" s="389" t="str">
        <x:v>Расчет НДС-базы QORSYS</x:v>
      </x:c>
      <x:c r="B29" s="389"/>
      <x:c r="C29" s="389"/>
      <x:c r="D29" s="389"/>
      <x:c r="E29" s="389"/>
      <x:c r="F29" s="389"/>
      <x:c r="G29" s="389"/>
      <x:c r="H29" s="389"/>
    </x:row>
    <x:row r="30">
      <x:c r="A30" s="392" t="str">
        <x:v>Показатель</x:v>
      </x:c>
      <x:c r="B30" s="392" t="str">
        <x:v>Год 1</x:v>
      </x:c>
      <x:c r="C30" s="392" t="str">
        <x:v>Год 2</x:v>
      </x:c>
      <x:c r="D30" s="392" t="str">
        <x:v>Год 3</x:v>
      </x:c>
      <x:c r="E30" s="392" t="str">
        <x:v>Статус</x:v>
      </x:c>
      <x:c r="F30" s="392" t="str">
        <x:v>Комментарий</x:v>
      </x:c>
      <x:c r="G30" s="392" t="str">
        <x:v>Источник</x:v>
      </x:c>
      <x:c r="H30" s="392" t="str"/>
    </x:row>
    <x:row r="31">
      <x:c r="A31" t="str">
        <x:v>Exempt: лицензии/SaaS, ₽</x:v>
      </x:c>
      <x:c r="B31" t="n">
        <x:f>B20</x:f>
        <x:v>25415934.0331775</x:v>
      </x:c>
      <x:c r="C31" t="n">
        <x:f>C20</x:f>
        <x:v>101740839.27694832</x:v>
      </x:c>
      <x:c r="D31" t="n">
        <x:f>D20</x:f>
        <x:v>208258157.92258364</x:v>
      </x:c>
      <x:c r="E31" t="str">
        <x:v>Расчет</x:v>
      </x:c>
      <x:c r="F31" t="str">
        <x:v>После включения QORSYS в Реестр</x:v>
      </x:c>
      <x:c r="G31" t="str"/>
    </x:row>
    <x:row r="32">
      <x:c r="A32" t="str">
        <x:v>Exempt: Q-MOD часть оптимизаций, ₽</x:v>
      </x:c>
      <x:c r="B32" t="n">
        <x:f>B21*B24</x:f>
        <x:v>33000000.000000015</x:v>
      </x:c>
      <x:c r="C32" t="n">
        <x:f>C21*C24</x:f>
        <x:v>50490000.000000015</x:v>
      </x:c>
      <x:c r="D32" t="n">
        <x:f>D21*D24</x:f>
        <x:v>89100000.00000006</x:v>
      </x:c>
      <x:c r="E32" t="str">
        <x:v>Расчет</x:v>
      </x:c>
      <x:c r="F32" t="str">
        <x:v>Только часть, оформленная как доработка в рамках передачи прав</x:v>
      </x:c>
      <x:c r="G32" t="str">
        <x:v>https://www.consultant.ru/law/review/consult/qa2026-07-16.html</x:v>
      </x:c>
    </x:row>
    <x:row r="33">
      <x:c r="A33" t="str">
        <x:v>Exempt: модули, ₽</x:v>
      </x:c>
      <x:c r="B33" t="n">
        <x:f>B22</x:f>
        <x:v>0</x:v>
      </x:c>
      <x:c r="C33" t="n">
        <x:f>C22</x:f>
        <x:v>0</x:v>
      </x:c>
      <x:c r="D33" t="n">
        <x:f>D22</x:f>
        <x:v>0</x:v>
      </x:c>
      <x:c r="E33" t="str">
        <x:v>Расчет</x:v>
      </x:c>
      <x:c r="F33" t="str">
        <x:v>Если модуль является дополнительной функциональностью реестрового ПО</x:v>
      </x:c>
      <x:c r="G33" t="str"/>
    </x:row>
    <x:row r="34">
      <x:c r="A34" t="str">
        <x:v>Exempt: Performance Fee, ₽</x:v>
      </x:c>
      <x:c r="B34" t="n">
        <x:f>B23*B27</x:f>
        <x:v>0</x:v>
      </x:c>
      <x:c r="C34" t="n">
        <x:f>C23*C27</x:f>
        <x:v>0</x:v>
      </x:c>
      <x:c r="D34" t="n">
        <x:f>D23*D27</x:f>
        <x:v>0</x:v>
      </x:c>
      <x:c r="E34" t="str">
        <x:v>Расчет</x:v>
      </x:c>
      <x:c r="F34" t="str">
        <x:v>Только после legal opinion</x:v>
      </x:c>
      <x:c r="G34" t="str"/>
    </x:row>
    <x:row r="35">
      <x:c r="A35" t="str">
        <x:v>НДС-облагаемая выручка, ₽</x:v>
      </x:c>
      <x:c r="B35" t="n">
        <x:f>MAX(0,B19-SUM(B31:B34))</x:f>
        <x:v>8250000</x:v>
      </x:c>
      <x:c r="C35" t="n">
        <x:f>MAX(0,C19-SUM(C31:C34))</x:f>
        <x:v>8910000</x:v>
      </x:c>
      <x:c r="D35" t="n">
        <x:f>MAX(0,D19-SUM(D31:D34))</x:f>
        <x:v>9900000</x:v>
      </x:c>
      <x:c r="E35" t="str">
        <x:v>Расчет</x:v>
      </x:c>
      <x:c r="F35" t="str">
        <x:v>Консервативная остаточная база</x:v>
      </x:c>
      <x:c r="G35" t="str"/>
    </x:row>
    <x:row r="36">
      <x:c r="A36" t="str">
        <x:v>Exempt share общей выручки</x:v>
      </x:c>
      <x:c r="B36" t="n">
        <x:f>IFERROR(SUM(B31:B34)/B19,0)</x:f>
        <x:v>0.8762486400341404</x:v>
      </x:c>
      <x:c r="C36" t="n">
        <x:f>IFERROR(SUM(C31:C34)/C19,0)</x:f>
        <x:v>0.9447067544144621</x:v>
      </x:c>
      <x:c r="D36" t="n">
        <x:f>IFERROR(SUM(D31:D34)/D19,0)</x:f>
        <x:v>0.9677795373540761</x:v>
      </x:c>
      <x:c r="E36" t="str">
        <x:v>Расчет</x:v>
      </x:c>
      <x:c r="F36" t="str">
        <x:v>Чем выше — тем меньше VAT exposure</x:v>
      </x:c>
      <x:c r="G36" t="str"/>
    </x:row>
    <x:row r="37">
      <x:c r="A37" t="str">
        <x:v>Proxy ставка НДС УСН</x:v>
      </x:c>
      <x:c r="B37" s="394" t="n">
        <x:v>0.05</x:v>
      </x:c>
      <x:c r="C37" s="394" t="n">
        <x:v>0.05</x:v>
      </x:c>
      <x:c r="D37" s="394" t="n">
        <x:v>0.07</x:v>
      </x:c>
      <x:c r="E37" t="str">
        <x:v>INPUT</x:v>
      </x:c>
      <x:c r="F37" t="str">
        <x:v>Proxy; ежегодно обновлять по действующим лимитам и выбранной ставке</x:v>
      </x:c>
      <x:c r="G37" t="str"/>
    </x:row>
    <x:row r="38">
      <x:c r="A38" t="str">
        <x:v>НДС cost при цене «включая НДС», ₽</x:v>
      </x:c>
      <x:c r="B38" t="n">
        <x:f>B35*B37/(1+B37)</x:f>
        <x:v>392857.14285714284</x:v>
      </x:c>
      <x:c r="C38" t="n">
        <x:f>C35*C37/(1+C37)</x:f>
        <x:v>424285.71428571426</x:v>
      </x:c>
      <x:c r="D38" t="n">
        <x:f>D35*D37/(1+D37)</x:f>
        <x:v>647663.5514018693</x:v>
      </x:c>
      <x:c r="E38" t="str">
        <x:v>Расчет</x:v>
      </x:c>
      <x:c r="F38" t="str">
        <x:v>Экономический cost, если фиксированная цена включает НДС</x:v>
      </x:c>
      <x:c r="G38" t="str"/>
    </x:row>
    <x:row r="39">
      <x:c r="A39" t="str">
        <x:v>НДС impact при цене «+ НДС», ₽</x:v>
      </x:c>
      <x:c r="B39" t="n">
        <x:f>0</x:f>
        <x:v>0</x:v>
      </x:c>
      <x:c r="C39" t="n">
        <x:f>0</x:f>
        <x:v>0</x:v>
      </x:c>
      <x:c r="D39" t="n">
        <x:f>0</x:f>
        <x:v>0</x:v>
      </x:c>
      <x:c r="E39" t="str">
        <x:v>Расчет</x:v>
      </x:c>
      <x:c r="F39" t="str">
        <x:v>Если цена = net price + применимый НДС, EBITDA impact=0</x:v>
      </x:c>
      <x:c r="G39" t="str"/>
    </x:row>
  </x:sheetData>
  <x:mergeCells>
    <x:mergeCell ref="A1:J1"/>
    <x:mergeCell ref="A16:H16"/>
    <x:mergeCell ref="A29:H29"/>
  </x:mergeCells>
  <x:pageMargins left="0.7" right="0.7" top="0.75" bottom="0.75" header="0.3" footer="0.3"/>
</x:worksheet>
</file>